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drawings/drawing4.xml" ContentType="application/vnd.openxmlformats-officedocument.drawing+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theme/themeOverride1.xml" ContentType="application/vnd.openxmlformats-officedocument.themeOverride+xml"/>
  <Override PartName="/xl/charts/chart31.xml" ContentType="application/vnd.openxmlformats-officedocument.drawingml.chart+xml"/>
  <Override PartName="/xl/theme/themeOverride2.xml" ContentType="application/vnd.openxmlformats-officedocument.themeOverride+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theme/themeOverride3.xml" ContentType="application/vnd.openxmlformats-officedocument.themeOverride+xml"/>
  <Override PartName="/xl/charts/chart36.xml" ContentType="application/vnd.openxmlformats-officedocument.drawingml.chart+xml"/>
  <Override PartName="/xl/theme/themeOverride4.xml" ContentType="application/vnd.openxmlformats-officedocument.themeOverride+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theme/themeOverride5.xml" ContentType="application/vnd.openxmlformats-officedocument.themeOverride+xml"/>
  <Override PartName="/xl/charts/chart41.xml" ContentType="application/vnd.openxmlformats-officedocument.drawingml.chart+xml"/>
  <Override PartName="/xl/theme/themeOverride6.xml" ContentType="application/vnd.openxmlformats-officedocument.themeOverride+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theme/themeOverride7.xml" ContentType="application/vnd.openxmlformats-officedocument.themeOverride+xml"/>
  <Override PartName="/xl/charts/chart46.xml" ContentType="application/vnd.openxmlformats-officedocument.drawingml.chart+xml"/>
  <Override PartName="/xl/theme/themeOverride8.xml" ContentType="application/vnd.openxmlformats-officedocument.themeOverride+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theme/themeOverride9.xml" ContentType="application/vnd.openxmlformats-officedocument.themeOverride+xml"/>
  <Override PartName="/xl/charts/chart51.xml" ContentType="application/vnd.openxmlformats-officedocument.drawingml.chart+xml"/>
  <Override PartName="/xl/theme/themeOverride10.xml" ContentType="application/vnd.openxmlformats-officedocument.themeOverride+xml"/>
  <Override PartName="/xl/drawings/drawing5.xml" ContentType="application/vnd.openxmlformats-officedocument.drawing+xml"/>
  <Override PartName="/xl/charts/chart52.xml" ContentType="application/vnd.openxmlformats-officedocument.drawingml.chart+xml"/>
  <Override PartName="/xl/charts/chart53.xml" ContentType="application/vnd.openxmlformats-officedocument.drawingml.chart+xml"/>
  <Override PartName="/xl/drawings/drawing6.xml" ContentType="application/vnd.openxmlformats-officedocument.drawing+xml"/>
  <Override PartName="/xl/charts/chart54.xml" ContentType="application/vnd.openxmlformats-officedocument.drawingml.chart+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harts/chart64.xml" ContentType="application/vnd.openxmlformats-officedocument.drawingml.chart+xml"/>
  <Override PartName="/xl/charts/chart65.xml" ContentType="application/vnd.openxmlformats-officedocument.drawingml.chart+xml"/>
  <Override PartName="/xl/drawings/drawing7.xml" ContentType="application/vnd.openxmlformats-officedocument.drawing+xml"/>
  <Override PartName="/xl/charts/chart66.xml" ContentType="application/vnd.openxmlformats-officedocument.drawingml.chart+xml"/>
  <Override PartName="/xl/charts/chart67.xml" ContentType="application/vnd.openxmlformats-officedocument.drawingml.chart+xml"/>
  <Override PartName="/xl/charts/chart68.xml" ContentType="application/vnd.openxmlformats-officedocument.drawingml.chart+xml"/>
  <Override PartName="/xl/charts/chart69.xml" ContentType="application/vnd.openxmlformats-officedocument.drawingml.chart+xml"/>
  <Override PartName="/xl/charts/chart7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111"/>
  <workbookPr showInkAnnotation="0" codeName="ThisWorkbook" autoCompressPictures="0"/>
  <mc:AlternateContent xmlns:mc="http://schemas.openxmlformats.org/markup-compatibility/2006">
    <mc:Choice Requires="x15">
      <x15ac:absPath xmlns:x15ac="http://schemas.microsoft.com/office/spreadsheetml/2010/11/ac" url="/Users/jgaudin/Downloads/"/>
    </mc:Choice>
  </mc:AlternateContent>
  <xr:revisionPtr revIDLastSave="0" documentId="13_ncr:1_{E650D973-D8F9-994D-9266-84A6F94AD88B}" xr6:coauthVersionLast="47" xr6:coauthVersionMax="47" xr10:uidLastSave="{00000000-0000-0000-0000-000000000000}"/>
  <workbookProtection workbookAlgorithmName="SHA-512" workbookHashValue="urBs6jsR15FADfsfyepyF7FTnZjHDybtsnGYjF21zAtyPoGv9ioburPzXjdxprDBblgjlSoaziypGgwk1nsNhg==" workbookSaltValue="X/knHAjDnpalcaGwZdBikA==" workbookSpinCount="100000" lockStructure="1"/>
  <bookViews>
    <workbookView xWindow="-44400" yWindow="-3940" windowWidth="25600" windowHeight="17540" tabRatio="500" xr2:uid="{00000000-000D-0000-FFFF-FFFF00000000}"/>
  </bookViews>
  <sheets>
    <sheet name="EULA" sheetId="13" r:id="rId1"/>
    <sheet name="Instructions" sheetId="14" r:id="rId2"/>
    <sheet name="Printable Report" sheetId="17" r:id="rId3"/>
    <sheet name="EU Single Speakers " sheetId="16" r:id="rId4"/>
    <sheet name="US Single Speakers" sheetId="15" r:id="rId5"/>
    <sheet name="Master EU" sheetId="11" r:id="rId6"/>
    <sheet name="EU MDM-5000" sheetId="1" r:id="rId7"/>
    <sheet name="EU MDM-832" sheetId="5" r:id="rId8"/>
    <sheet name="Master US" sheetId="10" r:id="rId9"/>
    <sheet name="US MDM-5000" sheetId="8" r:id="rId10"/>
    <sheet name="US MDM-832" sheetId="12" r:id="rId11"/>
    <sheet name="Data" sheetId="2" state="hidden" r:id="rId12"/>
  </sheets>
  <definedNames>
    <definedName name="A1048999" localSheetId="3">#REF!</definedName>
    <definedName name="A1048999" localSheetId="1">Instructions!$A$1048014</definedName>
    <definedName name="A1048999">#REF!</definedName>
    <definedName name="A1049000" localSheetId="3">#REF!</definedName>
    <definedName name="A1049000" localSheetId="1">Instructions!$A$1048014</definedName>
    <definedName name="A1049000">#REF!</definedName>
    <definedName name="A1050000">EULA!$A$950003</definedName>
    <definedName name="A1071480" localSheetId="3">#REF!</definedName>
    <definedName name="A1071480" localSheetId="1">Instructions!$107160:$107160</definedName>
    <definedName name="A1071480">#REF!</definedName>
    <definedName name="A1080000" localSheetId="3">#REF!</definedName>
    <definedName name="A1080000" localSheetId="1">Instructions!$A$108014</definedName>
    <definedName name="A1080000">#REF!</definedName>
    <definedName name="A1099900">EULA!$A$999903</definedName>
    <definedName name="A1100000">EULA!$A$1000003</definedName>
    <definedName name="A9000000">EULA!$A$900003</definedName>
    <definedName name="o1049000">'Master EU'!$A$112140</definedName>
    <definedName name="_xlnm.Print_Area" localSheetId="9">'US MDM-5000'!$A:$P</definedName>
    <definedName name="_xlnm.Print_Area" localSheetId="4">'US Single Speakers'!$A:$T</definedName>
    <definedName name="WST">'Master US'!$BC$2</definedName>
    <definedName name="xfd">'EU MDM-5000'!$E$10</definedName>
    <definedName name="XWD">'EU MDM-832'!$AT$1</definedName>
    <definedName name="XWD1">'EU MDM-832'!$AT$1</definedName>
    <definedName name="xwf1">'EU MDM-832'!$AT$1</definedName>
    <definedName name="xwt01">'US MDM-5000'!$Q:$Q</definedName>
    <definedName name="XWT1">'US MDM-5000'!$Q$1</definedName>
    <definedName name="ZZ">'Master US'!$BC$1</definedName>
    <definedName name="zzz">'Master EU'!$AT$1</definedName>
    <definedName name="ZZZ1">'Master US'!$ZZ$1</definedName>
  </definedNames>
  <calcPr calcId="191028"/>
  <customWorkbookViews>
    <customWorkbookView name="Final" guid="{3AB00655-FA95-794F-AE6B-0DE661FEB534}" includeHiddenRowCol="0" yWindow="54" windowWidth="1440" windowHeight="822" tabRatio="500" activeSheetId="1"/>
    <customWorkbookView name="Final2" guid="{638DA5E6-5C83-F34B-A013-9937D26CA5CB}" includePrintSettings="0" includeHiddenRowCol="0" yWindow="54" windowWidth="1440" windowHeight="820" tabRatio="500" activeSheetId="11"/>
  </customWorkbookViews>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R18" i="12" l="1"/>
  <c r="P18" i="12"/>
  <c r="N18" i="12"/>
  <c r="L18" i="12"/>
  <c r="J18" i="12"/>
  <c r="H18" i="12"/>
  <c r="F18" i="12"/>
  <c r="D18" i="12"/>
  <c r="N221" i="8"/>
  <c r="L221" i="8"/>
  <c r="J221" i="8"/>
  <c r="H221" i="8"/>
  <c r="F221" i="8"/>
  <c r="D221" i="8"/>
  <c r="N181" i="8"/>
  <c r="L181" i="8"/>
  <c r="J181" i="8"/>
  <c r="H181" i="8"/>
  <c r="F181" i="8"/>
  <c r="D181" i="8"/>
  <c r="N141" i="8"/>
  <c r="L141" i="8"/>
  <c r="J141" i="8"/>
  <c r="H141" i="8"/>
  <c r="F141" i="8"/>
  <c r="D141" i="8"/>
  <c r="N101" i="8"/>
  <c r="L101" i="8"/>
  <c r="J101" i="8"/>
  <c r="H101" i="8"/>
  <c r="F101" i="8"/>
  <c r="D101" i="8"/>
  <c r="N61" i="8"/>
  <c r="L61" i="8"/>
  <c r="J61" i="8"/>
  <c r="H61" i="8"/>
  <c r="F61" i="8"/>
  <c r="D61" i="8"/>
  <c r="N21" i="8"/>
  <c r="L21" i="8"/>
  <c r="J21" i="8"/>
  <c r="H21" i="8"/>
  <c r="F21" i="8"/>
  <c r="D21" i="8"/>
  <c r="R208" i="5"/>
  <c r="P208" i="5"/>
  <c r="N208" i="5"/>
  <c r="L208" i="5"/>
  <c r="J208" i="5"/>
  <c r="H208" i="5"/>
  <c r="F208" i="5"/>
  <c r="D208" i="5"/>
  <c r="R170" i="5"/>
  <c r="P170" i="5"/>
  <c r="N170" i="5"/>
  <c r="L170" i="5"/>
  <c r="J170" i="5"/>
  <c r="H170" i="5"/>
  <c r="F170" i="5"/>
  <c r="D170" i="5"/>
  <c r="R132" i="5"/>
  <c r="P132" i="5"/>
  <c r="N132" i="5"/>
  <c r="L132" i="5"/>
  <c r="J132" i="5"/>
  <c r="H132" i="5"/>
  <c r="F132" i="5"/>
  <c r="D132" i="5"/>
  <c r="R94" i="5"/>
  <c r="P94" i="5"/>
  <c r="N94" i="5"/>
  <c r="L94" i="5"/>
  <c r="J94" i="5"/>
  <c r="H94" i="5"/>
  <c r="F94" i="5"/>
  <c r="D94" i="5"/>
  <c r="R56" i="5"/>
  <c r="P56" i="5"/>
  <c r="N56" i="5"/>
  <c r="L56" i="5"/>
  <c r="J56" i="5"/>
  <c r="H56" i="5"/>
  <c r="F56" i="5"/>
  <c r="D56" i="5"/>
  <c r="R18" i="5"/>
  <c r="P18" i="5"/>
  <c r="N18" i="5"/>
  <c r="L18" i="5"/>
  <c r="J18" i="5"/>
  <c r="H18" i="5"/>
  <c r="F18" i="5"/>
  <c r="D18" i="5"/>
  <c r="N203" i="1"/>
  <c r="L203" i="1"/>
  <c r="J203" i="1"/>
  <c r="H203" i="1"/>
  <c r="F203" i="1"/>
  <c r="D203" i="1"/>
  <c r="N166" i="1"/>
  <c r="L166" i="1"/>
  <c r="J166" i="1"/>
  <c r="H166" i="1"/>
  <c r="F166" i="1"/>
  <c r="D166" i="1"/>
  <c r="N129" i="1"/>
  <c r="L129" i="1"/>
  <c r="J129" i="1"/>
  <c r="H129" i="1"/>
  <c r="F129" i="1"/>
  <c r="D129" i="1"/>
  <c r="N92" i="1"/>
  <c r="L92" i="1"/>
  <c r="J92" i="1"/>
  <c r="H92" i="1"/>
  <c r="F92" i="1"/>
  <c r="D92" i="1"/>
  <c r="N55" i="1"/>
  <c r="L55" i="1"/>
  <c r="J55" i="1"/>
  <c r="H55" i="1"/>
  <c r="F55" i="1"/>
  <c r="D55" i="1"/>
  <c r="N18" i="1"/>
  <c r="L18" i="1"/>
  <c r="J18" i="1"/>
  <c r="H18" i="1"/>
  <c r="F18" i="1"/>
  <c r="D18" i="1"/>
  <c r="Q12" i="15"/>
  <c r="Q13" i="15"/>
  <c r="Q14" i="15"/>
  <c r="Q15" i="15"/>
  <c r="Q16" i="15"/>
  <c r="Q17" i="15"/>
  <c r="Q18" i="15"/>
  <c r="Q19" i="15"/>
  <c r="Q20" i="15"/>
  <c r="Q21" i="15"/>
  <c r="Q22" i="15"/>
  <c r="Q23" i="15"/>
  <c r="Q24" i="15"/>
  <c r="Q25" i="15"/>
  <c r="Q26" i="15"/>
  <c r="Q27" i="15"/>
  <c r="Q28" i="15"/>
  <c r="Q29" i="15"/>
  <c r="Q30" i="15"/>
  <c r="Q31" i="15"/>
  <c r="Q32" i="15"/>
  <c r="Q33" i="15"/>
  <c r="Q34" i="15"/>
  <c r="Q35" i="15"/>
  <c r="Q36" i="15"/>
  <c r="Q37" i="15"/>
  <c r="Q38" i="15"/>
  <c r="Q39" i="15"/>
  <c r="Q11" i="15"/>
  <c r="J6" i="10"/>
  <c r="B6" i="10"/>
  <c r="B6" i="11"/>
  <c r="B194" i="5"/>
  <c r="B156" i="5"/>
  <c r="B118" i="5"/>
  <c r="B80" i="5"/>
  <c r="B42" i="5"/>
  <c r="B4" i="5"/>
  <c r="B189" i="1"/>
  <c r="B152" i="1"/>
  <c r="B115" i="1"/>
  <c r="B78" i="1"/>
  <c r="B41" i="1"/>
  <c r="B4" i="1"/>
  <c r="B95" i="11"/>
  <c r="B89" i="11"/>
  <c r="B83" i="11"/>
  <c r="B77" i="11"/>
  <c r="B71" i="11"/>
  <c r="B65" i="11"/>
  <c r="B58" i="11"/>
  <c r="B53" i="11"/>
  <c r="B48" i="11"/>
  <c r="B43" i="11"/>
  <c r="B38" i="11"/>
  <c r="B33" i="11"/>
  <c r="T42" i="15" l="1"/>
  <c r="T42" i="16"/>
  <c r="T1" i="15"/>
  <c r="S37" i="12"/>
  <c r="P240" i="8"/>
  <c r="P200" i="8"/>
  <c r="P160" i="8"/>
  <c r="P120" i="8"/>
  <c r="P80" i="8"/>
  <c r="P40" i="8"/>
  <c r="L1" i="11"/>
  <c r="L1" i="10"/>
  <c r="T228" i="5"/>
  <c r="T190" i="5"/>
  <c r="T152" i="5"/>
  <c r="T114" i="5"/>
  <c r="T76" i="5"/>
  <c r="T38" i="5"/>
  <c r="P222" i="1"/>
  <c r="P185" i="1"/>
  <c r="P148" i="1"/>
  <c r="P111" i="1"/>
  <c r="P97" i="1"/>
  <c r="P74" i="1"/>
  <c r="P37" i="1"/>
  <c r="L98" i="11"/>
  <c r="P42" i="15"/>
  <c r="P1" i="15"/>
  <c r="P1" i="16"/>
  <c r="P42" i="16"/>
  <c r="A66" i="13"/>
  <c r="P82" i="17"/>
  <c r="P37" i="17"/>
  <c r="A38" i="17"/>
  <c r="A37" i="17"/>
  <c r="A83" i="17"/>
  <c r="AC83" i="17"/>
  <c r="AC38" i="17"/>
  <c r="M37" i="17"/>
  <c r="P83" i="17"/>
  <c r="P38" i="17"/>
  <c r="X47" i="17"/>
  <c r="Q41" i="17"/>
  <c r="P41" i="17"/>
  <c r="P45" i="17"/>
  <c r="AE10" i="1"/>
  <c r="X45" i="17"/>
  <c r="E2" i="5"/>
  <c r="H14" i="5" s="1"/>
  <c r="AE23" i="5" s="1"/>
  <c r="P46" i="17"/>
  <c r="P47" i="17"/>
  <c r="P48" i="17"/>
  <c r="P50" i="17"/>
  <c r="P51" i="17"/>
  <c r="AF10" i="1"/>
  <c r="X51" i="17"/>
  <c r="E40" i="5"/>
  <c r="N52" i="5" s="1"/>
  <c r="AH61" i="5" s="1"/>
  <c r="P52" i="17"/>
  <c r="P53" i="17"/>
  <c r="X53" i="17"/>
  <c r="P54" i="17"/>
  <c r="P56" i="17"/>
  <c r="P57" i="17"/>
  <c r="AG10" i="1"/>
  <c r="X57" i="17"/>
  <c r="E78" i="5"/>
  <c r="P90" i="5" s="1"/>
  <c r="AI99" i="5" s="1"/>
  <c r="P58" i="17"/>
  <c r="P59" i="17"/>
  <c r="X59" i="17"/>
  <c r="P60" i="17"/>
  <c r="P62" i="17"/>
  <c r="P63" i="17"/>
  <c r="AH10" i="1"/>
  <c r="X63" i="17"/>
  <c r="E116" i="5"/>
  <c r="F128" i="5" s="1"/>
  <c r="AD137" i="5" s="1"/>
  <c r="P64" i="17"/>
  <c r="P65" i="17"/>
  <c r="X65" i="17"/>
  <c r="P66" i="17"/>
  <c r="P69" i="17"/>
  <c r="P70" i="17"/>
  <c r="AI10" i="1"/>
  <c r="X70" i="17"/>
  <c r="E154" i="5"/>
  <c r="D166" i="5" s="1"/>
  <c r="P71" i="17"/>
  <c r="P72" i="17"/>
  <c r="X72" i="17"/>
  <c r="P73" i="17"/>
  <c r="P75" i="17"/>
  <c r="P76" i="17"/>
  <c r="AJ10" i="1"/>
  <c r="X76" i="17"/>
  <c r="E192" i="5"/>
  <c r="D204" i="5" s="1"/>
  <c r="P77" i="17"/>
  <c r="P78" i="17"/>
  <c r="X78" i="17"/>
  <c r="P79" i="17"/>
  <c r="P44" i="17"/>
  <c r="X12" i="17"/>
  <c r="Z12" i="17"/>
  <c r="D4" i="11"/>
  <c r="E76" i="1" s="1"/>
  <c r="D88" i="1" s="1"/>
  <c r="G4" i="11"/>
  <c r="G76" i="1" s="1"/>
  <c r="L90" i="1" s="1"/>
  <c r="J4" i="11"/>
  <c r="I39" i="1" s="1"/>
  <c r="N51" i="1" s="1"/>
  <c r="O51" i="1" s="1"/>
  <c r="X13" i="17"/>
  <c r="Y13" i="17"/>
  <c r="Z13" i="17"/>
  <c r="AA13" i="17"/>
  <c r="AB13" i="17"/>
  <c r="AC13" i="17"/>
  <c r="X14" i="17"/>
  <c r="Y14" i="17"/>
  <c r="Z14" i="17"/>
  <c r="AA14" i="17"/>
  <c r="AB14" i="17"/>
  <c r="AC14" i="17"/>
  <c r="X15" i="17"/>
  <c r="Y15" i="17"/>
  <c r="Z15" i="17"/>
  <c r="AA15" i="17"/>
  <c r="AB15" i="17"/>
  <c r="AC15" i="17"/>
  <c r="X17" i="17"/>
  <c r="Z17" i="17"/>
  <c r="X18" i="17"/>
  <c r="Y18" i="17"/>
  <c r="Z18" i="17"/>
  <c r="AA18" i="17"/>
  <c r="AB18" i="17"/>
  <c r="AC18" i="17"/>
  <c r="X19" i="17"/>
  <c r="Y19" i="17"/>
  <c r="Z19" i="17"/>
  <c r="AA19" i="17"/>
  <c r="AB19" i="17"/>
  <c r="AC19" i="17"/>
  <c r="X20" i="17"/>
  <c r="Y20" i="17"/>
  <c r="Z20" i="17"/>
  <c r="AA20" i="17"/>
  <c r="AB20" i="17"/>
  <c r="AC20" i="17"/>
  <c r="X22" i="17"/>
  <c r="Z22" i="17"/>
  <c r="G113" i="1"/>
  <c r="L130" i="1" s="1"/>
  <c r="X23" i="17"/>
  <c r="Y23" i="17"/>
  <c r="Z23" i="17"/>
  <c r="AA23" i="17"/>
  <c r="AB23" i="17"/>
  <c r="AC23" i="17"/>
  <c r="X24" i="17"/>
  <c r="Y24" i="17"/>
  <c r="Z24" i="17"/>
  <c r="AA24" i="17"/>
  <c r="AB24" i="17"/>
  <c r="AC24" i="17"/>
  <c r="X25" i="17"/>
  <c r="Y25" i="17"/>
  <c r="Z25" i="17"/>
  <c r="AA25" i="17"/>
  <c r="AB25" i="17"/>
  <c r="AC25" i="17"/>
  <c r="X27" i="17"/>
  <c r="Z27" i="17"/>
  <c r="G150" i="1"/>
  <c r="F162" i="1" s="1"/>
  <c r="X28" i="17"/>
  <c r="Y28" i="17"/>
  <c r="Z28" i="17"/>
  <c r="AA28" i="17"/>
  <c r="AB28" i="17"/>
  <c r="AC28" i="17"/>
  <c r="X29" i="17"/>
  <c r="Y29" i="17"/>
  <c r="Z29" i="17"/>
  <c r="AA29" i="17"/>
  <c r="AB29" i="17"/>
  <c r="AC29" i="17"/>
  <c r="X30" i="17"/>
  <c r="Y30" i="17"/>
  <c r="Z30" i="17"/>
  <c r="AA30" i="17"/>
  <c r="AB30" i="17"/>
  <c r="AC30" i="17"/>
  <c r="X32" i="17"/>
  <c r="Z32" i="17"/>
  <c r="X33" i="17"/>
  <c r="Y33" i="17"/>
  <c r="Z33" i="17"/>
  <c r="AA33" i="17"/>
  <c r="AB33" i="17"/>
  <c r="AC33" i="17"/>
  <c r="X34" i="17"/>
  <c r="Y34" i="17"/>
  <c r="Z34" i="17"/>
  <c r="AA34" i="17"/>
  <c r="AB34" i="17"/>
  <c r="AC34" i="17"/>
  <c r="X35" i="17"/>
  <c r="Y35" i="17"/>
  <c r="Z35" i="17"/>
  <c r="AA35" i="17"/>
  <c r="AB35" i="17"/>
  <c r="AC35" i="17"/>
  <c r="AC10" i="17"/>
  <c r="AC9" i="17"/>
  <c r="AC8" i="17"/>
  <c r="AB10" i="17"/>
  <c r="AB9" i="17"/>
  <c r="AB8" i="17"/>
  <c r="AA10" i="17"/>
  <c r="AA9" i="17"/>
  <c r="AA8" i="17"/>
  <c r="Z10" i="17"/>
  <c r="Z9" i="17"/>
  <c r="Z8" i="17"/>
  <c r="Z7" i="17"/>
  <c r="X10" i="17"/>
  <c r="Y10" i="17"/>
  <c r="Y9" i="17"/>
  <c r="Y8" i="17"/>
  <c r="X8" i="17"/>
  <c r="P4" i="17"/>
  <c r="Q35" i="17"/>
  <c r="Q34" i="17"/>
  <c r="Q30" i="17"/>
  <c r="Q29" i="17"/>
  <c r="Q27" i="17"/>
  <c r="Q25" i="17"/>
  <c r="Q24" i="17"/>
  <c r="Q20" i="17"/>
  <c r="Q19" i="17"/>
  <c r="Q15" i="17"/>
  <c r="Q14" i="17"/>
  <c r="Q10" i="17"/>
  <c r="Q9" i="17"/>
  <c r="P8" i="17"/>
  <c r="G2" i="1"/>
  <c r="F14" i="1" s="1"/>
  <c r="G14" i="1" s="1"/>
  <c r="P9" i="17"/>
  <c r="E34" i="11"/>
  <c r="S9" i="17" s="1"/>
  <c r="G34" i="11"/>
  <c r="U9" i="17"/>
  <c r="I34" i="11"/>
  <c r="W9" i="17" s="1"/>
  <c r="X9" i="17"/>
  <c r="P10" i="17"/>
  <c r="E35" i="11"/>
  <c r="S10" i="17" s="1"/>
  <c r="G35" i="11"/>
  <c r="U10" i="17"/>
  <c r="I35" i="11"/>
  <c r="W10" i="17"/>
  <c r="P12" i="17"/>
  <c r="Q12" i="17"/>
  <c r="R12" i="17"/>
  <c r="T12" i="17"/>
  <c r="V12" i="17"/>
  <c r="P13" i="17"/>
  <c r="P14" i="17"/>
  <c r="E39" i="11"/>
  <c r="S14" i="17" s="1"/>
  <c r="G39" i="11"/>
  <c r="U14" i="17"/>
  <c r="I39" i="11"/>
  <c r="W14" i="17" s="1"/>
  <c r="P15" i="17"/>
  <c r="E40" i="11"/>
  <c r="S15" i="17" s="1"/>
  <c r="G40" i="11"/>
  <c r="U15" i="17"/>
  <c r="I40" i="11"/>
  <c r="W15" i="17"/>
  <c r="P17" i="17"/>
  <c r="Q17" i="17"/>
  <c r="R17" i="17"/>
  <c r="T17" i="17"/>
  <c r="V17" i="17"/>
  <c r="P18" i="17"/>
  <c r="P19" i="17"/>
  <c r="E44" i="11"/>
  <c r="S19" i="17"/>
  <c r="G44" i="11"/>
  <c r="U19" i="17" s="1"/>
  <c r="I44" i="11"/>
  <c r="W19" i="17" s="1"/>
  <c r="P20" i="17"/>
  <c r="E45" i="11"/>
  <c r="S20" i="17"/>
  <c r="G45" i="11"/>
  <c r="U20" i="17"/>
  <c r="I45" i="11"/>
  <c r="W20" i="17" s="1"/>
  <c r="P22" i="17"/>
  <c r="Q22" i="17"/>
  <c r="R22" i="17"/>
  <c r="T22" i="17"/>
  <c r="V22" i="17"/>
  <c r="P23" i="17"/>
  <c r="P24" i="17"/>
  <c r="E49" i="11"/>
  <c r="S24" i="17" s="1"/>
  <c r="G49" i="11"/>
  <c r="U24" i="17" s="1"/>
  <c r="I49" i="11"/>
  <c r="W24" i="17"/>
  <c r="P25" i="17"/>
  <c r="E50" i="11"/>
  <c r="S25" i="17"/>
  <c r="G50" i="11"/>
  <c r="U25" i="17" s="1"/>
  <c r="I50" i="11"/>
  <c r="W25" i="17"/>
  <c r="P27" i="17"/>
  <c r="R27" i="17"/>
  <c r="T27" i="17"/>
  <c r="V27" i="17"/>
  <c r="P28" i="17"/>
  <c r="P29" i="17"/>
  <c r="E54" i="11"/>
  <c r="S29" i="17" s="1"/>
  <c r="G54" i="11"/>
  <c r="U29" i="17"/>
  <c r="I54" i="11"/>
  <c r="W29" i="17" s="1"/>
  <c r="P30" i="17"/>
  <c r="E55" i="11"/>
  <c r="S30" i="17" s="1"/>
  <c r="G55" i="11"/>
  <c r="U30" i="17" s="1"/>
  <c r="I55" i="11"/>
  <c r="W30" i="17" s="1"/>
  <c r="P32" i="17"/>
  <c r="Q32" i="17"/>
  <c r="R32" i="17"/>
  <c r="T32" i="17"/>
  <c r="V32" i="17"/>
  <c r="P33" i="17"/>
  <c r="P34" i="17"/>
  <c r="E59" i="11"/>
  <c r="S34" i="17"/>
  <c r="G59" i="11"/>
  <c r="U34" i="17"/>
  <c r="I59" i="11"/>
  <c r="W34" i="17" s="1"/>
  <c r="P35" i="17"/>
  <c r="E60" i="11"/>
  <c r="S35" i="17" s="1"/>
  <c r="G60" i="11"/>
  <c r="U35" i="17"/>
  <c r="I60" i="11"/>
  <c r="W35" i="17" s="1"/>
  <c r="Q7" i="17"/>
  <c r="R7" i="17"/>
  <c r="T7" i="17"/>
  <c r="V7" i="17"/>
  <c r="X7" i="17"/>
  <c r="P7" i="17"/>
  <c r="A7" i="17"/>
  <c r="M8" i="17"/>
  <c r="A26" i="17"/>
  <c r="A21" i="17"/>
  <c r="K21" i="17"/>
  <c r="A25" i="17"/>
  <c r="J11" i="16"/>
  <c r="J12" i="16"/>
  <c r="J13" i="16"/>
  <c r="J14" i="16"/>
  <c r="J15" i="16"/>
  <c r="J16" i="16"/>
  <c r="J17" i="16"/>
  <c r="J18" i="16"/>
  <c r="J19" i="16"/>
  <c r="J20" i="16"/>
  <c r="J21" i="16"/>
  <c r="J22" i="16"/>
  <c r="J23" i="16"/>
  <c r="J24" i="16"/>
  <c r="J25" i="16"/>
  <c r="J26" i="16"/>
  <c r="J27" i="16"/>
  <c r="J28" i="16"/>
  <c r="J29" i="16"/>
  <c r="J30" i="16"/>
  <c r="J31" i="16"/>
  <c r="J32" i="16"/>
  <c r="J33" i="16"/>
  <c r="J34" i="16"/>
  <c r="J35" i="16"/>
  <c r="J36" i="16"/>
  <c r="J37" i="16"/>
  <c r="J38" i="16"/>
  <c r="J39" i="16"/>
  <c r="J40" i="16"/>
  <c r="M24" i="17"/>
  <c r="G11" i="15"/>
  <c r="G12" i="15"/>
  <c r="S12" i="15" s="1"/>
  <c r="G13" i="15"/>
  <c r="S13" i="15" s="1"/>
  <c r="G14" i="15"/>
  <c r="S14" i="15" s="1"/>
  <c r="G15" i="15"/>
  <c r="S15" i="15" s="1"/>
  <c r="G16" i="15"/>
  <c r="S16" i="15" s="1"/>
  <c r="G17" i="15"/>
  <c r="S17" i="15" s="1"/>
  <c r="G18" i="15"/>
  <c r="S18" i="15" s="1"/>
  <c r="G19" i="15"/>
  <c r="S19" i="15" s="1"/>
  <c r="G20" i="15"/>
  <c r="S20" i="15" s="1"/>
  <c r="G21" i="15"/>
  <c r="S21" i="15" s="1"/>
  <c r="G22" i="15"/>
  <c r="S22" i="15" s="1"/>
  <c r="G23" i="15"/>
  <c r="S23" i="15" s="1"/>
  <c r="G24" i="15"/>
  <c r="S24" i="15" s="1"/>
  <c r="G25" i="15"/>
  <c r="S25" i="15" s="1"/>
  <c r="G26" i="15"/>
  <c r="S26" i="15" s="1"/>
  <c r="G27" i="15"/>
  <c r="S27" i="15" s="1"/>
  <c r="G28" i="15"/>
  <c r="S28" i="15" s="1"/>
  <c r="G29" i="15"/>
  <c r="S29" i="15" s="1"/>
  <c r="G30" i="15"/>
  <c r="S30" i="15" s="1"/>
  <c r="G31" i="15"/>
  <c r="S31" i="15" s="1"/>
  <c r="G32" i="15"/>
  <c r="S32" i="15" s="1"/>
  <c r="G33" i="15"/>
  <c r="S33" i="15" s="1"/>
  <c r="G34" i="15"/>
  <c r="S34" i="15" s="1"/>
  <c r="G35" i="15"/>
  <c r="S35" i="15" s="1"/>
  <c r="G36" i="15"/>
  <c r="S36" i="15" s="1"/>
  <c r="G37" i="15"/>
  <c r="S37" i="15" s="1"/>
  <c r="G38" i="15"/>
  <c r="S38" i="15" s="1"/>
  <c r="G39" i="15"/>
  <c r="S39" i="15" s="1"/>
  <c r="G40" i="15"/>
  <c r="S40" i="15" s="1"/>
  <c r="G11" i="16"/>
  <c r="S11" i="16" s="1"/>
  <c r="G12" i="16"/>
  <c r="S12" i="16" s="1"/>
  <c r="G13" i="16"/>
  <c r="S13" i="16" s="1"/>
  <c r="G14" i="16"/>
  <c r="S14" i="16" s="1"/>
  <c r="G15" i="16"/>
  <c r="S15" i="16" s="1"/>
  <c r="G16" i="16"/>
  <c r="S16" i="16" s="1"/>
  <c r="G17" i="16"/>
  <c r="S17" i="16" s="1"/>
  <c r="G18" i="16"/>
  <c r="S18" i="16" s="1"/>
  <c r="G19" i="16"/>
  <c r="S19" i="16" s="1"/>
  <c r="G20" i="16"/>
  <c r="S20" i="16" s="1"/>
  <c r="G21" i="16"/>
  <c r="S21" i="16" s="1"/>
  <c r="G22" i="16"/>
  <c r="S22" i="16" s="1"/>
  <c r="G23" i="16"/>
  <c r="S23" i="16" s="1"/>
  <c r="G24" i="16"/>
  <c r="S24" i="16" s="1"/>
  <c r="G25" i="16"/>
  <c r="S25" i="16" s="1"/>
  <c r="G26" i="16"/>
  <c r="S26" i="16" s="1"/>
  <c r="G27" i="16"/>
  <c r="S27" i="16" s="1"/>
  <c r="G28" i="16"/>
  <c r="S28" i="16" s="1"/>
  <c r="G29" i="16"/>
  <c r="S29" i="16" s="1"/>
  <c r="G30" i="16"/>
  <c r="S30" i="16" s="1"/>
  <c r="G31" i="16"/>
  <c r="S31" i="16" s="1"/>
  <c r="G32" i="16"/>
  <c r="S32" i="16" s="1"/>
  <c r="G33" i="16"/>
  <c r="S33" i="16" s="1"/>
  <c r="G34" i="16"/>
  <c r="S34" i="16" s="1"/>
  <c r="G35" i="16"/>
  <c r="S35" i="16" s="1"/>
  <c r="G36" i="16"/>
  <c r="S36" i="16" s="1"/>
  <c r="G37" i="16"/>
  <c r="S37" i="16" s="1"/>
  <c r="G38" i="16"/>
  <c r="S38" i="16" s="1"/>
  <c r="G39" i="16"/>
  <c r="S39" i="16" s="1"/>
  <c r="G40" i="16"/>
  <c r="S40" i="16" s="1"/>
  <c r="D25" i="17"/>
  <c r="D26" i="17"/>
  <c r="E26" i="17"/>
  <c r="J11" i="15"/>
  <c r="J12" i="15"/>
  <c r="J13" i="15"/>
  <c r="J14" i="15"/>
  <c r="J15" i="15"/>
  <c r="J16" i="15"/>
  <c r="J17" i="15"/>
  <c r="J18" i="15"/>
  <c r="J19" i="15"/>
  <c r="J20" i="15"/>
  <c r="J21" i="15"/>
  <c r="J22" i="15"/>
  <c r="J23" i="15"/>
  <c r="J24" i="15"/>
  <c r="J25" i="15"/>
  <c r="J26" i="15"/>
  <c r="J27" i="15"/>
  <c r="J28" i="15"/>
  <c r="J29" i="15"/>
  <c r="J30" i="15"/>
  <c r="J31" i="15"/>
  <c r="J32" i="15"/>
  <c r="J33" i="15"/>
  <c r="J34" i="15"/>
  <c r="J35" i="15"/>
  <c r="J36" i="15"/>
  <c r="J37" i="15"/>
  <c r="J38" i="15"/>
  <c r="J39" i="15"/>
  <c r="J40" i="15"/>
  <c r="H26" i="17"/>
  <c r="M11" i="15"/>
  <c r="M12" i="15"/>
  <c r="M13" i="15"/>
  <c r="M14" i="15"/>
  <c r="M15" i="15"/>
  <c r="M16" i="15"/>
  <c r="M17" i="15"/>
  <c r="M18" i="15"/>
  <c r="M19" i="15"/>
  <c r="M20" i="15"/>
  <c r="M21" i="15"/>
  <c r="M22" i="15"/>
  <c r="M23" i="15"/>
  <c r="M24" i="15"/>
  <c r="M25" i="15"/>
  <c r="M26" i="15"/>
  <c r="M27" i="15"/>
  <c r="M28" i="15"/>
  <c r="M29" i="15"/>
  <c r="M30" i="15"/>
  <c r="M31" i="15"/>
  <c r="M32" i="15"/>
  <c r="M33" i="15"/>
  <c r="M34" i="15"/>
  <c r="M35" i="15"/>
  <c r="M36" i="15"/>
  <c r="M37" i="15"/>
  <c r="M38" i="15"/>
  <c r="M39" i="15"/>
  <c r="M40" i="15"/>
  <c r="Q40" i="15" s="1"/>
  <c r="M11" i="16"/>
  <c r="Q11" i="16" s="1"/>
  <c r="M12" i="16"/>
  <c r="Q12" i="16" s="1"/>
  <c r="M13" i="16"/>
  <c r="Q13" i="16" s="1"/>
  <c r="M14" i="16"/>
  <c r="Q14" i="16" s="1"/>
  <c r="M15" i="16"/>
  <c r="Q15" i="16" s="1"/>
  <c r="M16" i="16"/>
  <c r="Q16" i="16" s="1"/>
  <c r="M17" i="16"/>
  <c r="Q17" i="16" s="1"/>
  <c r="M18" i="16"/>
  <c r="Q18" i="16" s="1"/>
  <c r="M19" i="16"/>
  <c r="Q19" i="16" s="1"/>
  <c r="M20" i="16"/>
  <c r="Q20" i="16" s="1"/>
  <c r="M21" i="16"/>
  <c r="Q21" i="16" s="1"/>
  <c r="M22" i="16"/>
  <c r="Q22" i="16" s="1"/>
  <c r="M23" i="16"/>
  <c r="Q23" i="16" s="1"/>
  <c r="M24" i="16"/>
  <c r="Q24" i="16" s="1"/>
  <c r="M25" i="16"/>
  <c r="Q25" i="16" s="1"/>
  <c r="M26" i="16"/>
  <c r="Q26" i="16" s="1"/>
  <c r="M27" i="16"/>
  <c r="Q27" i="16" s="1"/>
  <c r="M28" i="16"/>
  <c r="Q28" i="16" s="1"/>
  <c r="M29" i="16"/>
  <c r="Q29" i="16" s="1"/>
  <c r="M30" i="16"/>
  <c r="Q30" i="16" s="1"/>
  <c r="M31" i="16"/>
  <c r="Q31" i="16" s="1"/>
  <c r="M32" i="16"/>
  <c r="Q32" i="16" s="1"/>
  <c r="M33" i="16"/>
  <c r="Q33" i="16" s="1"/>
  <c r="M34" i="16"/>
  <c r="Q34" i="16" s="1"/>
  <c r="M35" i="16"/>
  <c r="Q35" i="16" s="1"/>
  <c r="M36" i="16"/>
  <c r="Q36" i="16" s="1"/>
  <c r="M37" i="16"/>
  <c r="Q37" i="16" s="1"/>
  <c r="M38" i="16"/>
  <c r="Q38" i="16" s="1"/>
  <c r="M39" i="16"/>
  <c r="Q39" i="16" s="1"/>
  <c r="M40" i="16"/>
  <c r="Q40" i="16" s="1"/>
  <c r="K26" i="17"/>
  <c r="E27" i="17"/>
  <c r="H27" i="17"/>
  <c r="K27" i="17"/>
  <c r="C24" i="17"/>
  <c r="F24" i="17"/>
  <c r="I24" i="17"/>
  <c r="A4" i="17"/>
  <c r="B7" i="17"/>
  <c r="C7" i="17"/>
  <c r="E7" i="17"/>
  <c r="F7" i="17"/>
  <c r="H7" i="17"/>
  <c r="K7" i="17"/>
  <c r="M7" i="17"/>
  <c r="A8" i="17"/>
  <c r="C8" i="17"/>
  <c r="F8" i="17"/>
  <c r="I8" i="17"/>
  <c r="A9" i="17"/>
  <c r="E9" i="17"/>
  <c r="H9" i="17"/>
  <c r="K9" i="17"/>
  <c r="A10" i="17"/>
  <c r="E10" i="17"/>
  <c r="H10" i="17"/>
  <c r="K10" i="17"/>
  <c r="A11" i="17"/>
  <c r="E11" i="17"/>
  <c r="H11" i="17"/>
  <c r="K11" i="17"/>
  <c r="A12" i="17"/>
  <c r="E12" i="17"/>
  <c r="H12" i="17"/>
  <c r="K12" i="17"/>
  <c r="AH11" i="8"/>
  <c r="AH2" i="8" s="1"/>
  <c r="R64" i="10" s="1"/>
  <c r="E2" i="12" s="1"/>
  <c r="F15" i="12" s="1"/>
  <c r="T1" i="16"/>
  <c r="B1" i="16"/>
  <c r="B42" i="16"/>
  <c r="AE11" i="1"/>
  <c r="AE47" i="1"/>
  <c r="AE48" i="1"/>
  <c r="AE84" i="1"/>
  <c r="AE85" i="1"/>
  <c r="AE121" i="1"/>
  <c r="AE122" i="1"/>
  <c r="AE158" i="1"/>
  <c r="AE159" i="1"/>
  <c r="AE195" i="1"/>
  <c r="AE196" i="1"/>
  <c r="AF11" i="1"/>
  <c r="AF47" i="1"/>
  <c r="AF48" i="1"/>
  <c r="AF84" i="1"/>
  <c r="AF85" i="1"/>
  <c r="AF121" i="1"/>
  <c r="AF122" i="1"/>
  <c r="AF158" i="1"/>
  <c r="AF159" i="1"/>
  <c r="AF195" i="1"/>
  <c r="AF196" i="1"/>
  <c r="AG11" i="1"/>
  <c r="AG47" i="1"/>
  <c r="AG48" i="1"/>
  <c r="AG84" i="1"/>
  <c r="AG85" i="1"/>
  <c r="AG121" i="1"/>
  <c r="AG122" i="1"/>
  <c r="AG158" i="1"/>
  <c r="AG159" i="1"/>
  <c r="AG195" i="1"/>
  <c r="AG196" i="1"/>
  <c r="AH11" i="1"/>
  <c r="AH47" i="1"/>
  <c r="AH48" i="1"/>
  <c r="AH84" i="1"/>
  <c r="AH85" i="1"/>
  <c r="AH121" i="1"/>
  <c r="AH122" i="1"/>
  <c r="AH158" i="1"/>
  <c r="AH159" i="1"/>
  <c r="AH195" i="1"/>
  <c r="AH196" i="1"/>
  <c r="AI11" i="1"/>
  <c r="AI47" i="1"/>
  <c r="AI48" i="1"/>
  <c r="AI84" i="1"/>
  <c r="AI85" i="1"/>
  <c r="AI121" i="1"/>
  <c r="AI122" i="1"/>
  <c r="AI158" i="1"/>
  <c r="AI159" i="1"/>
  <c r="AI195" i="1"/>
  <c r="AI196" i="1"/>
  <c r="AJ11" i="1"/>
  <c r="AJ47" i="1"/>
  <c r="AJ48" i="1"/>
  <c r="AJ84" i="1"/>
  <c r="AJ85" i="1"/>
  <c r="AJ121" i="1"/>
  <c r="AJ122" i="1"/>
  <c r="AJ158" i="1"/>
  <c r="AJ159" i="1"/>
  <c r="AJ195" i="1"/>
  <c r="AJ196" i="1"/>
  <c r="D4" i="10"/>
  <c r="D3" i="8"/>
  <c r="G4" i="10"/>
  <c r="E203" i="8" s="1"/>
  <c r="J4" i="10"/>
  <c r="F163" i="8"/>
  <c r="D163" i="8"/>
  <c r="F123" i="8"/>
  <c r="Y122" i="8" s="1"/>
  <c r="D83" i="8"/>
  <c r="D43" i="8"/>
  <c r="G123" i="8"/>
  <c r="G43" i="8"/>
  <c r="G3" i="8"/>
  <c r="AH12" i="8"/>
  <c r="S72" i="2"/>
  <c r="T72" i="2"/>
  <c r="U72" i="2"/>
  <c r="S73" i="2"/>
  <c r="T73" i="2"/>
  <c r="U73" i="2"/>
  <c r="S74" i="2"/>
  <c r="T74" i="2"/>
  <c r="U74" i="2"/>
  <c r="S75" i="2"/>
  <c r="T75" i="2"/>
  <c r="U75" i="2"/>
  <c r="S76" i="2"/>
  <c r="T76" i="2"/>
  <c r="U76" i="2"/>
  <c r="AI11" i="8"/>
  <c r="AI2" i="8" s="1"/>
  <c r="AJ11" i="8"/>
  <c r="AJ2" i="8" s="1"/>
  <c r="AK11" i="8"/>
  <c r="AK2" i="8" s="1"/>
  <c r="AL11" i="8"/>
  <c r="AM11" i="8"/>
  <c r="AM2" i="8" s="1"/>
  <c r="AI12" i="8"/>
  <c r="AJ12" i="8"/>
  <c r="AK12" i="8"/>
  <c r="AL12" i="8"/>
  <c r="AM12" i="8"/>
  <c r="O98" i="11"/>
  <c r="O61" i="11"/>
  <c r="O30" i="11"/>
  <c r="O1" i="11"/>
  <c r="B37" i="12"/>
  <c r="B240" i="8"/>
  <c r="B200" i="8"/>
  <c r="B160" i="8"/>
  <c r="B120" i="8"/>
  <c r="B80" i="8"/>
  <c r="B40" i="8"/>
  <c r="B30" i="10"/>
  <c r="B61" i="10"/>
  <c r="B228" i="5"/>
  <c r="B190" i="5"/>
  <c r="B152" i="5"/>
  <c r="B114" i="5"/>
  <c r="B76" i="5"/>
  <c r="B38" i="5"/>
  <c r="B222" i="1"/>
  <c r="B185" i="1"/>
  <c r="B148" i="1"/>
  <c r="B111" i="1"/>
  <c r="B74" i="1"/>
  <c r="B37" i="1"/>
  <c r="B98" i="11"/>
  <c r="B61" i="11"/>
  <c r="B30" i="11"/>
  <c r="A1" i="13"/>
  <c r="S1" i="12"/>
  <c r="O201" i="8"/>
  <c r="O161" i="8"/>
  <c r="O121" i="8"/>
  <c r="O81" i="8"/>
  <c r="O41" i="8"/>
  <c r="O1" i="8"/>
  <c r="O61" i="10"/>
  <c r="O30" i="10"/>
  <c r="O1" i="10"/>
  <c r="S191" i="5"/>
  <c r="S153" i="5"/>
  <c r="S115" i="5"/>
  <c r="S77" i="5"/>
  <c r="S39" i="5"/>
  <c r="S1" i="5"/>
  <c r="O186" i="1"/>
  <c r="O149" i="1"/>
  <c r="O112" i="1"/>
  <c r="O75" i="1"/>
  <c r="O38" i="1"/>
  <c r="O1" i="1"/>
  <c r="AJ220" i="5"/>
  <c r="AI220" i="5"/>
  <c r="AH220" i="5"/>
  <c r="AG220" i="5"/>
  <c r="AF220" i="5"/>
  <c r="AE220" i="5"/>
  <c r="AD220" i="5"/>
  <c r="AC220" i="5"/>
  <c r="Z213" i="5"/>
  <c r="Y213" i="5"/>
  <c r="X213" i="5"/>
  <c r="AC213" i="5"/>
  <c r="W217" i="5"/>
  <c r="W216" i="5"/>
  <c r="W215" i="5"/>
  <c r="AJ182" i="5"/>
  <c r="AI182" i="5"/>
  <c r="AH182" i="5"/>
  <c r="AG182" i="5"/>
  <c r="AF182" i="5"/>
  <c r="AE182" i="5"/>
  <c r="AD182" i="5"/>
  <c r="AC182" i="5"/>
  <c r="Z175" i="5"/>
  <c r="Y175" i="5"/>
  <c r="X175" i="5"/>
  <c r="W179" i="5"/>
  <c r="W178" i="5"/>
  <c r="W177" i="5"/>
  <c r="AJ144" i="5"/>
  <c r="AI144" i="5"/>
  <c r="AH144" i="5"/>
  <c r="AG144" i="5"/>
  <c r="AF144" i="5"/>
  <c r="AE144" i="5"/>
  <c r="AD144" i="5"/>
  <c r="AC144" i="5"/>
  <c r="Z137" i="5"/>
  <c r="Y137" i="5"/>
  <c r="X137" i="5"/>
  <c r="W141" i="5"/>
  <c r="W140" i="5"/>
  <c r="W139" i="5"/>
  <c r="AJ106" i="5"/>
  <c r="AI106" i="5"/>
  <c r="AH106" i="5"/>
  <c r="AG106" i="5"/>
  <c r="AF106" i="5"/>
  <c r="AE106" i="5"/>
  <c r="AD106" i="5"/>
  <c r="AC106" i="5"/>
  <c r="Z99" i="5"/>
  <c r="Y99" i="5"/>
  <c r="X99" i="5"/>
  <c r="W103" i="5"/>
  <c r="W102" i="5"/>
  <c r="W101" i="5"/>
  <c r="AD68" i="5"/>
  <c r="AE68" i="5"/>
  <c r="AF68" i="5"/>
  <c r="AG68" i="5"/>
  <c r="AH68" i="5"/>
  <c r="AI68" i="5"/>
  <c r="AJ68" i="5"/>
  <c r="AC68" i="5"/>
  <c r="AD30" i="5"/>
  <c r="AE30" i="5"/>
  <c r="AF30" i="5"/>
  <c r="AG30" i="5"/>
  <c r="AH30" i="5"/>
  <c r="AI30" i="5"/>
  <c r="AJ30" i="5"/>
  <c r="AC30" i="5"/>
  <c r="Z61" i="5"/>
  <c r="Y61" i="5"/>
  <c r="Y23" i="5"/>
  <c r="Z23" i="5"/>
  <c r="X61" i="5"/>
  <c r="W65" i="5"/>
  <c r="W64" i="5"/>
  <c r="W63" i="5"/>
  <c r="X23" i="5"/>
  <c r="AJ30" i="12"/>
  <c r="AI30" i="12"/>
  <c r="AH30" i="12"/>
  <c r="AG30" i="12"/>
  <c r="AF30" i="12"/>
  <c r="AE30" i="12"/>
  <c r="AD30" i="12"/>
  <c r="AC30" i="12"/>
  <c r="Z23" i="12"/>
  <c r="Y23" i="12"/>
  <c r="X23" i="12"/>
  <c r="W27" i="12"/>
  <c r="W26" i="12"/>
  <c r="W25" i="12"/>
  <c r="AD237" i="8"/>
  <c r="AC237" i="8"/>
  <c r="AB237" i="8"/>
  <c r="AA237" i="8"/>
  <c r="Z237" i="8"/>
  <c r="Y237" i="8"/>
  <c r="AD226" i="8"/>
  <c r="AD225" i="8"/>
  <c r="AC226" i="8"/>
  <c r="AC225" i="8"/>
  <c r="AB226" i="8"/>
  <c r="AB225" i="8"/>
  <c r="AA226" i="8"/>
  <c r="AA225" i="8"/>
  <c r="Z226" i="8"/>
  <c r="Z225" i="8"/>
  <c r="Y226" i="8"/>
  <c r="Y225" i="8"/>
  <c r="V226" i="8"/>
  <c r="V225" i="8"/>
  <c r="U226" i="8"/>
  <c r="U225" i="8"/>
  <c r="T226" i="8"/>
  <c r="T225" i="8"/>
  <c r="X230" i="8"/>
  <c r="X229" i="8"/>
  <c r="S229" i="8"/>
  <c r="X228" i="8"/>
  <c r="S228" i="8"/>
  <c r="AD227" i="8"/>
  <c r="AC227" i="8"/>
  <c r="AB227" i="8"/>
  <c r="AA227" i="8"/>
  <c r="Z227" i="8"/>
  <c r="Y227" i="8"/>
  <c r="S227" i="8"/>
  <c r="S207" i="8"/>
  <c r="AD197" i="8"/>
  <c r="AC197" i="8"/>
  <c r="AB197" i="8"/>
  <c r="AA197" i="8"/>
  <c r="Z197" i="8"/>
  <c r="Y197" i="8"/>
  <c r="AD186" i="8"/>
  <c r="AD185" i="8"/>
  <c r="AC186" i="8"/>
  <c r="AC185" i="8"/>
  <c r="AB186" i="8"/>
  <c r="AB185" i="8"/>
  <c r="AA186" i="8"/>
  <c r="AA185" i="8"/>
  <c r="Z186" i="8"/>
  <c r="Z185" i="8"/>
  <c r="Y186" i="8"/>
  <c r="Y185" i="8"/>
  <c r="V186" i="8"/>
  <c r="V185" i="8"/>
  <c r="U186" i="8"/>
  <c r="U185" i="8"/>
  <c r="T186" i="8"/>
  <c r="T185" i="8"/>
  <c r="X190" i="8"/>
  <c r="X189" i="8"/>
  <c r="S189" i="8"/>
  <c r="X188" i="8"/>
  <c r="S188" i="8"/>
  <c r="AD187" i="8"/>
  <c r="AC187" i="8"/>
  <c r="AB187" i="8"/>
  <c r="AA187" i="8"/>
  <c r="Z187" i="8"/>
  <c r="Y187" i="8"/>
  <c r="S187" i="8"/>
  <c r="S167" i="8"/>
  <c r="AD157" i="8"/>
  <c r="AC157" i="8"/>
  <c r="AB157" i="8"/>
  <c r="AA157" i="8"/>
  <c r="Z157" i="8"/>
  <c r="Y157" i="8"/>
  <c r="AD146" i="8"/>
  <c r="AD145" i="8"/>
  <c r="AC146" i="8"/>
  <c r="AC145" i="8"/>
  <c r="AB146" i="8"/>
  <c r="AB145" i="8"/>
  <c r="AA146" i="8"/>
  <c r="AA145" i="8"/>
  <c r="Z146" i="8"/>
  <c r="Z145" i="8"/>
  <c r="Y146" i="8"/>
  <c r="Y145" i="8"/>
  <c r="V146" i="8"/>
  <c r="V145" i="8"/>
  <c r="U146" i="8"/>
  <c r="U145" i="8"/>
  <c r="T146" i="8"/>
  <c r="T145" i="8"/>
  <c r="X150" i="8"/>
  <c r="X149" i="8"/>
  <c r="S149" i="8"/>
  <c r="X148" i="8"/>
  <c r="S148" i="8"/>
  <c r="AD147" i="8"/>
  <c r="AC147" i="8"/>
  <c r="AB147" i="8"/>
  <c r="AA147" i="8"/>
  <c r="Z147" i="8"/>
  <c r="Y147" i="8"/>
  <c r="S147" i="8"/>
  <c r="AD117" i="8"/>
  <c r="AC117" i="8"/>
  <c r="AB117" i="8"/>
  <c r="AA117" i="8"/>
  <c r="Z117" i="8"/>
  <c r="Y117" i="8"/>
  <c r="AD106" i="8"/>
  <c r="AD105" i="8"/>
  <c r="AC106" i="8"/>
  <c r="AC105" i="8"/>
  <c r="AB106" i="8"/>
  <c r="AB105" i="8"/>
  <c r="AA106" i="8"/>
  <c r="AA105" i="8"/>
  <c r="Z106" i="8"/>
  <c r="Z105" i="8"/>
  <c r="Y106" i="8"/>
  <c r="Y105" i="8"/>
  <c r="V106" i="8"/>
  <c r="V105" i="8"/>
  <c r="U106" i="8"/>
  <c r="U105" i="8"/>
  <c r="T106" i="8"/>
  <c r="T105" i="8"/>
  <c r="X110" i="8"/>
  <c r="X109" i="8"/>
  <c r="S109" i="8"/>
  <c r="X108" i="8"/>
  <c r="S108" i="8"/>
  <c r="AD107" i="8"/>
  <c r="AC107" i="8"/>
  <c r="AB107" i="8"/>
  <c r="AA107" i="8"/>
  <c r="Z107" i="8"/>
  <c r="Y107" i="8"/>
  <c r="S107" i="8"/>
  <c r="S87" i="8"/>
  <c r="AD216" i="1"/>
  <c r="AC216" i="1"/>
  <c r="AB216" i="1"/>
  <c r="AA216" i="1"/>
  <c r="Z216" i="1"/>
  <c r="Y216" i="1"/>
  <c r="AD205" i="1"/>
  <c r="AC205" i="1"/>
  <c r="AB205" i="1"/>
  <c r="AA205" i="1"/>
  <c r="Z205" i="1"/>
  <c r="Y205" i="1"/>
  <c r="V205" i="1"/>
  <c r="U205" i="1"/>
  <c r="T205" i="1"/>
  <c r="X209" i="1"/>
  <c r="S209" i="1"/>
  <c r="X208" i="1"/>
  <c r="S208" i="1"/>
  <c r="X207" i="1"/>
  <c r="S207" i="1"/>
  <c r="AD206" i="1"/>
  <c r="AC206" i="1"/>
  <c r="AB206" i="1"/>
  <c r="AA206" i="1"/>
  <c r="Z206" i="1"/>
  <c r="Y206" i="1"/>
  <c r="AD179" i="1"/>
  <c r="AC179" i="1"/>
  <c r="AB179" i="1"/>
  <c r="AA179" i="1"/>
  <c r="Z179" i="1"/>
  <c r="Y179" i="1"/>
  <c r="AD168" i="1"/>
  <c r="AC168" i="1"/>
  <c r="AB168" i="1"/>
  <c r="AA168" i="1"/>
  <c r="Z168" i="1"/>
  <c r="Y168" i="1"/>
  <c r="V168" i="1"/>
  <c r="U168" i="1"/>
  <c r="T168" i="1"/>
  <c r="X172" i="1"/>
  <c r="S172" i="1"/>
  <c r="X171" i="1"/>
  <c r="S171" i="1"/>
  <c r="X170" i="1"/>
  <c r="S170" i="1"/>
  <c r="AD169" i="1"/>
  <c r="AC169" i="1"/>
  <c r="AB169" i="1"/>
  <c r="AA169" i="1"/>
  <c r="Z169" i="1"/>
  <c r="Y169" i="1"/>
  <c r="AD142" i="1"/>
  <c r="AC142" i="1"/>
  <c r="AB142" i="1"/>
  <c r="AA142" i="1"/>
  <c r="Z142" i="1"/>
  <c r="Y142" i="1"/>
  <c r="AD131" i="1"/>
  <c r="AC131" i="1"/>
  <c r="AB131" i="1"/>
  <c r="AA131" i="1"/>
  <c r="Z131" i="1"/>
  <c r="Y131" i="1"/>
  <c r="V131" i="1"/>
  <c r="U131" i="1"/>
  <c r="T131" i="1"/>
  <c r="X135" i="1"/>
  <c r="S135" i="1"/>
  <c r="X134" i="1"/>
  <c r="S134" i="1"/>
  <c r="X133" i="1"/>
  <c r="S133" i="1"/>
  <c r="AD132" i="1"/>
  <c r="AC132" i="1"/>
  <c r="AB132" i="1"/>
  <c r="AA132" i="1"/>
  <c r="Z132" i="1"/>
  <c r="Y132" i="1"/>
  <c r="AD105" i="1"/>
  <c r="AC105" i="1"/>
  <c r="AB105" i="1"/>
  <c r="AA105" i="1"/>
  <c r="Z105" i="1"/>
  <c r="Y105" i="1"/>
  <c r="AD94" i="1"/>
  <c r="AC94" i="1"/>
  <c r="AB94" i="1"/>
  <c r="AA94" i="1"/>
  <c r="Z94" i="1"/>
  <c r="Y94" i="1"/>
  <c r="V94" i="1"/>
  <c r="U94" i="1"/>
  <c r="T94" i="1"/>
  <c r="X98" i="1"/>
  <c r="S98" i="1"/>
  <c r="X97" i="1"/>
  <c r="S97" i="1"/>
  <c r="X96" i="1"/>
  <c r="S96" i="1"/>
  <c r="AD95" i="1"/>
  <c r="AC95" i="1"/>
  <c r="AB95" i="1"/>
  <c r="AA95" i="1"/>
  <c r="Z95" i="1"/>
  <c r="Y95" i="1"/>
  <c r="AD68" i="1"/>
  <c r="AC68" i="1"/>
  <c r="AB68" i="1"/>
  <c r="AA68" i="1"/>
  <c r="Z68" i="1"/>
  <c r="Y68" i="1"/>
  <c r="AD57" i="1"/>
  <c r="AC57" i="1"/>
  <c r="AB57" i="1"/>
  <c r="AA57" i="1"/>
  <c r="Z57" i="1"/>
  <c r="Y57" i="1"/>
  <c r="V57" i="1"/>
  <c r="U57" i="1"/>
  <c r="T57" i="1"/>
  <c r="X61" i="1"/>
  <c r="S61" i="1"/>
  <c r="X60" i="1"/>
  <c r="S60" i="1"/>
  <c r="X59" i="1"/>
  <c r="S59" i="1"/>
  <c r="AD58" i="1"/>
  <c r="AC58" i="1"/>
  <c r="AB58" i="1"/>
  <c r="AA58" i="1"/>
  <c r="Z58" i="1"/>
  <c r="Y58" i="1"/>
  <c r="S47" i="8"/>
  <c r="AD77" i="8"/>
  <c r="AC77" i="8"/>
  <c r="AB77" i="8"/>
  <c r="AA77" i="8"/>
  <c r="Z77" i="8"/>
  <c r="Y77" i="8"/>
  <c r="AD66" i="8"/>
  <c r="AD65" i="8"/>
  <c r="AC66" i="8"/>
  <c r="AC65" i="8"/>
  <c r="AB66" i="8"/>
  <c r="AB65" i="8"/>
  <c r="AA66" i="8"/>
  <c r="AA65" i="8"/>
  <c r="Z66" i="8"/>
  <c r="Z65" i="8"/>
  <c r="Y66" i="8"/>
  <c r="Y65" i="8"/>
  <c r="V66" i="8"/>
  <c r="V65" i="8"/>
  <c r="U66" i="8"/>
  <c r="U65" i="8"/>
  <c r="T66" i="8"/>
  <c r="T65" i="8"/>
  <c r="X70" i="8"/>
  <c r="X69" i="8"/>
  <c r="S69" i="8"/>
  <c r="X68" i="8"/>
  <c r="S68" i="8"/>
  <c r="AD67" i="8"/>
  <c r="AC67" i="8"/>
  <c r="AB67" i="8"/>
  <c r="AA67" i="8"/>
  <c r="Z67" i="8"/>
  <c r="Y67" i="8"/>
  <c r="S67" i="8"/>
  <c r="V25" i="8"/>
  <c r="Y25" i="8"/>
  <c r="Z25" i="8"/>
  <c r="V26" i="8"/>
  <c r="Y26" i="8"/>
  <c r="Z26" i="8"/>
  <c r="Y27" i="8"/>
  <c r="Z27" i="8"/>
  <c r="X28" i="8"/>
  <c r="X29" i="8"/>
  <c r="X30" i="8"/>
  <c r="T20" i="1"/>
  <c r="U20" i="1"/>
  <c r="V20" i="1"/>
  <c r="Y20" i="1"/>
  <c r="Z20" i="1"/>
  <c r="AA20" i="1"/>
  <c r="AB20" i="1"/>
  <c r="AC20" i="1"/>
  <c r="AD20" i="1"/>
  <c r="Y21" i="1"/>
  <c r="Z21" i="1"/>
  <c r="AA21" i="1"/>
  <c r="AB21" i="1"/>
  <c r="AC21" i="1"/>
  <c r="AD21" i="1"/>
  <c r="S22" i="1"/>
  <c r="X22" i="1"/>
  <c r="S23" i="1"/>
  <c r="X23" i="1"/>
  <c r="S24" i="1"/>
  <c r="X24" i="1"/>
  <c r="Y31" i="1"/>
  <c r="Z31" i="1"/>
  <c r="AA31" i="1"/>
  <c r="AB31" i="1"/>
  <c r="AC31" i="1"/>
  <c r="AD31" i="1"/>
  <c r="W25" i="5"/>
  <c r="W26" i="5"/>
  <c r="W27" i="5"/>
  <c r="T26" i="8"/>
  <c r="T25" i="8"/>
  <c r="AD37" i="8"/>
  <c r="AC37" i="8"/>
  <c r="AB37" i="8"/>
  <c r="AA37" i="8"/>
  <c r="Z37" i="8"/>
  <c r="Y37" i="8"/>
  <c r="AD26" i="8"/>
  <c r="AD25" i="8"/>
  <c r="AC26" i="8"/>
  <c r="AC25" i="8"/>
  <c r="AB26" i="8"/>
  <c r="AB25" i="8"/>
  <c r="AA26" i="8"/>
  <c r="AA25" i="8"/>
  <c r="U26" i="8"/>
  <c r="U25" i="8"/>
  <c r="S29" i="8"/>
  <c r="S28" i="8"/>
  <c r="AD27" i="8"/>
  <c r="AC27" i="8"/>
  <c r="AB27" i="8"/>
  <c r="AA27" i="8"/>
  <c r="S27" i="8"/>
  <c r="Z14" i="2"/>
  <c r="Y14" i="2"/>
  <c r="X14" i="2"/>
  <c r="Z6" i="2"/>
  <c r="Y6" i="2"/>
  <c r="X6" i="2"/>
  <c r="E2" i="1" l="1"/>
  <c r="J14" i="1" s="1"/>
  <c r="E187" i="1"/>
  <c r="J204" i="1" s="1"/>
  <c r="E113" i="1"/>
  <c r="J130" i="1" s="1"/>
  <c r="E150" i="1"/>
  <c r="J164" i="1" s="1"/>
  <c r="AB172" i="1" s="1"/>
  <c r="N15" i="5"/>
  <c r="R168" i="5"/>
  <c r="I187" i="1"/>
  <c r="N204" i="1" s="1"/>
  <c r="I113" i="1"/>
  <c r="G39" i="1"/>
  <c r="L51" i="1" s="1"/>
  <c r="I7" i="17"/>
  <c r="E39" i="1"/>
  <c r="D52" i="1" s="1"/>
  <c r="Y60" i="1" s="1"/>
  <c r="J15" i="5"/>
  <c r="AC175" i="5"/>
  <c r="G162" i="1"/>
  <c r="Y96" i="1"/>
  <c r="H171" i="5"/>
  <c r="H53" i="5"/>
  <c r="H15" i="5"/>
  <c r="H91" i="5"/>
  <c r="L57" i="5"/>
  <c r="D91" i="5"/>
  <c r="R54" i="5"/>
  <c r="R58" i="5" s="1"/>
  <c r="R15" i="5"/>
  <c r="N16" i="5"/>
  <c r="N20" i="5" s="1"/>
  <c r="L54" i="5"/>
  <c r="P15" i="5"/>
  <c r="H16" i="5"/>
  <c r="H92" i="5"/>
  <c r="N53" i="5"/>
  <c r="L15" i="5"/>
  <c r="F53" i="5"/>
  <c r="J54" i="5"/>
  <c r="J58" i="5" s="1"/>
  <c r="R91" i="5"/>
  <c r="R52" i="5"/>
  <c r="AJ61" i="5" s="1"/>
  <c r="P91" i="5"/>
  <c r="J95" i="5"/>
  <c r="L52" i="5"/>
  <c r="AG61" i="5" s="1"/>
  <c r="AG64" i="5" s="1"/>
  <c r="AG67" i="5" s="1"/>
  <c r="N91" i="5"/>
  <c r="H95" i="5"/>
  <c r="R57" i="5"/>
  <c r="J52" i="5"/>
  <c r="AF61" i="5" s="1"/>
  <c r="L91" i="5"/>
  <c r="R92" i="5"/>
  <c r="Z170" i="1"/>
  <c r="J91" i="5"/>
  <c r="J92" i="5"/>
  <c r="J96" i="5" s="1"/>
  <c r="J57" i="5"/>
  <c r="E88" i="1"/>
  <c r="D92" i="5"/>
  <c r="D96" i="5" s="1"/>
  <c r="D53" i="5"/>
  <c r="H57" i="5"/>
  <c r="H54" i="5"/>
  <c r="H58" i="5" s="1"/>
  <c r="H52" i="5"/>
  <c r="AE61" i="5" s="1"/>
  <c r="AE64" i="5" s="1"/>
  <c r="AE65" i="5" s="1"/>
  <c r="AE66" i="5" s="1"/>
  <c r="F89" i="1"/>
  <c r="Z97" i="1" s="1"/>
  <c r="L95" i="5"/>
  <c r="N90" i="5"/>
  <c r="R53" i="5"/>
  <c r="F57" i="5"/>
  <c r="F54" i="5"/>
  <c r="F58" i="5" s="1"/>
  <c r="F52" i="5"/>
  <c r="AD61" i="5" s="1"/>
  <c r="AD64" i="5" s="1"/>
  <c r="AD67" i="5" s="1"/>
  <c r="P19" i="5"/>
  <c r="H200" i="1"/>
  <c r="AA208" i="1" s="1"/>
  <c r="H130" i="1"/>
  <c r="P53" i="5"/>
  <c r="D57" i="5"/>
  <c r="D54" i="5"/>
  <c r="D58" i="5" s="1"/>
  <c r="D52" i="5"/>
  <c r="F95" i="5"/>
  <c r="L53" i="5"/>
  <c r="P57" i="5"/>
  <c r="P54" i="5"/>
  <c r="P52" i="5"/>
  <c r="J125" i="1"/>
  <c r="K125" i="1" s="1"/>
  <c r="J53" i="5"/>
  <c r="N57" i="5"/>
  <c r="N54" i="5"/>
  <c r="N19" i="5"/>
  <c r="F16" i="5"/>
  <c r="F20" i="5" s="1"/>
  <c r="J19" i="1"/>
  <c r="J90" i="1"/>
  <c r="K90" i="1" s="1"/>
  <c r="P209" i="5"/>
  <c r="L90" i="5"/>
  <c r="AG99" i="5" s="1"/>
  <c r="AG102" i="5" s="1"/>
  <c r="AG105" i="5" s="1"/>
  <c r="L19" i="5"/>
  <c r="D16" i="5"/>
  <c r="D20" i="5" s="1"/>
  <c r="J88" i="1"/>
  <c r="J209" i="5"/>
  <c r="P92" i="5"/>
  <c r="J90" i="5"/>
  <c r="AF99" i="5" s="1"/>
  <c r="F15" i="5"/>
  <c r="H19" i="5"/>
  <c r="R14" i="5"/>
  <c r="AJ23" i="5" s="1"/>
  <c r="AJ26" i="5" s="1"/>
  <c r="P205" i="5"/>
  <c r="R206" i="5"/>
  <c r="R210" i="5" s="1"/>
  <c r="P95" i="5"/>
  <c r="N92" i="5"/>
  <c r="N96" i="5" s="1"/>
  <c r="H90" i="5"/>
  <c r="AE99" i="5" s="1"/>
  <c r="AE102" i="5" s="1"/>
  <c r="AE103" i="5" s="1"/>
  <c r="AE104" i="5" s="1"/>
  <c r="D15" i="5"/>
  <c r="F19" i="5"/>
  <c r="F14" i="5"/>
  <c r="AD23" i="5" s="1"/>
  <c r="AD26" i="5" s="1"/>
  <c r="AD27" i="5" s="1"/>
  <c r="AD28" i="5" s="1"/>
  <c r="N205" i="5"/>
  <c r="R204" i="5"/>
  <c r="AJ213" i="5" s="1"/>
  <c r="AJ216" i="5" s="1"/>
  <c r="AJ219" i="5" s="1"/>
  <c r="N95" i="5"/>
  <c r="L92" i="5"/>
  <c r="F90" i="5"/>
  <c r="AD99" i="5" s="1"/>
  <c r="AD102" i="5" s="1"/>
  <c r="D19" i="5"/>
  <c r="D14" i="5"/>
  <c r="AC23" i="5" s="1"/>
  <c r="AC26" i="5" s="1"/>
  <c r="AC27" i="5" s="1"/>
  <c r="AC28" i="5" s="1"/>
  <c r="H205" i="5"/>
  <c r="P204" i="5"/>
  <c r="AI213" i="5" s="1"/>
  <c r="AI216" i="5" s="1"/>
  <c r="AI217" i="5" s="1"/>
  <c r="AI218" i="5" s="1"/>
  <c r="D205" i="5"/>
  <c r="H204" i="5"/>
  <c r="AE213" i="5" s="1"/>
  <c r="AE216" i="5" s="1"/>
  <c r="AE217" i="5" s="1"/>
  <c r="AE218" i="5" s="1"/>
  <c r="R19" i="5"/>
  <c r="J16" i="5"/>
  <c r="J20" i="5" s="1"/>
  <c r="AB133" i="1"/>
  <c r="AB138" i="1" s="1"/>
  <c r="AB139" i="1" s="1"/>
  <c r="AB140" i="1" s="1"/>
  <c r="L126" i="1"/>
  <c r="AC134" i="1" s="1"/>
  <c r="F126" i="1"/>
  <c r="L52" i="1"/>
  <c r="AC60" i="1" s="1"/>
  <c r="F130" i="5"/>
  <c r="F134" i="5" s="1"/>
  <c r="F52" i="1"/>
  <c r="Z60" i="1" s="1"/>
  <c r="J126" i="1"/>
  <c r="AB134" i="1" s="1"/>
  <c r="L127" i="1"/>
  <c r="D126" i="1"/>
  <c r="Y134" i="1" s="1"/>
  <c r="D162" i="1"/>
  <c r="F127" i="1"/>
  <c r="G127" i="1" s="1"/>
  <c r="F204" i="5"/>
  <c r="AD213" i="5" s="1"/>
  <c r="AD216" i="5" s="1"/>
  <c r="L89" i="1"/>
  <c r="AC97" i="1" s="1"/>
  <c r="L93" i="1"/>
  <c r="AB22" i="1"/>
  <c r="AB27" i="1" s="1"/>
  <c r="AB28" i="1" s="1"/>
  <c r="AB29" i="1" s="1"/>
  <c r="K14" i="1"/>
  <c r="AD59" i="1"/>
  <c r="AD64" i="1" s="1"/>
  <c r="AD67" i="1" s="1"/>
  <c r="L163" i="1"/>
  <c r="AC171" i="1" s="1"/>
  <c r="H20" i="5"/>
  <c r="F163" i="1"/>
  <c r="Z171" i="1" s="1"/>
  <c r="D16" i="1"/>
  <c r="Y24" i="1" s="1"/>
  <c r="D15" i="1"/>
  <c r="Y23" i="1" s="1"/>
  <c r="P168" i="5"/>
  <c r="P172" i="5" s="1"/>
  <c r="J16" i="1"/>
  <c r="AB24" i="1" s="1"/>
  <c r="J15" i="1"/>
  <c r="AB23" i="1" s="1"/>
  <c r="L167" i="1"/>
  <c r="L167" i="5"/>
  <c r="D168" i="5"/>
  <c r="D172" i="5" s="1"/>
  <c r="D19" i="1"/>
  <c r="N200" i="1"/>
  <c r="AD208" i="1" s="1"/>
  <c r="J52" i="1"/>
  <c r="AB60" i="1" s="1"/>
  <c r="N199" i="1"/>
  <c r="D167" i="1"/>
  <c r="F93" i="1"/>
  <c r="D51" i="1"/>
  <c r="D167" i="5"/>
  <c r="F166" i="5"/>
  <c r="AD175" i="5" s="1"/>
  <c r="AD178" i="5" s="1"/>
  <c r="AD181" i="5" s="1"/>
  <c r="H129" i="5"/>
  <c r="D90" i="5"/>
  <c r="L164" i="1"/>
  <c r="L168" i="1" s="1"/>
  <c r="J89" i="1"/>
  <c r="AB97" i="1" s="1"/>
  <c r="H52" i="1"/>
  <c r="AA60" i="1" s="1"/>
  <c r="D14" i="1"/>
  <c r="F164" i="1"/>
  <c r="Z172" i="1" s="1"/>
  <c r="F90" i="1"/>
  <c r="F94" i="1" s="1"/>
  <c r="L56" i="1"/>
  <c r="N206" i="5"/>
  <c r="N210" i="5" s="1"/>
  <c r="D89" i="1"/>
  <c r="Y97" i="1" s="1"/>
  <c r="L162" i="1"/>
  <c r="L88" i="1"/>
  <c r="J53" i="1"/>
  <c r="AB61" i="1" s="1"/>
  <c r="F205" i="5"/>
  <c r="J206" i="5"/>
  <c r="J210" i="5" s="1"/>
  <c r="N171" i="5"/>
  <c r="J133" i="5"/>
  <c r="D95" i="5"/>
  <c r="R90" i="5"/>
  <c r="AJ99" i="5" s="1"/>
  <c r="AJ102" i="5" s="1"/>
  <c r="AJ105" i="5" s="1"/>
  <c r="L19" i="1"/>
  <c r="D164" i="1"/>
  <c r="D168" i="1" s="1"/>
  <c r="P130" i="5"/>
  <c r="P134" i="5" s="1"/>
  <c r="N128" i="5"/>
  <c r="AH137" i="5" s="1"/>
  <c r="AH140" i="5" s="1"/>
  <c r="D201" i="1"/>
  <c r="E201" i="1" s="1"/>
  <c r="J93" i="1"/>
  <c r="R129" i="5"/>
  <c r="R133" i="5"/>
  <c r="N130" i="5"/>
  <c r="N134" i="5" s="1"/>
  <c r="L128" i="5"/>
  <c r="AG137" i="5" s="1"/>
  <c r="AG140" i="5" s="1"/>
  <c r="R16" i="5"/>
  <c r="R20" i="5" s="1"/>
  <c r="P14" i="5"/>
  <c r="AI23" i="5" s="1"/>
  <c r="AI26" i="5" s="1"/>
  <c r="D200" i="1"/>
  <c r="Y208" i="1" s="1"/>
  <c r="P128" i="5"/>
  <c r="AI137" i="5" s="1"/>
  <c r="AI140" i="5" s="1"/>
  <c r="Z22" i="1"/>
  <c r="Z27" i="1" s="1"/>
  <c r="Z30" i="1" s="1"/>
  <c r="J163" i="1"/>
  <c r="AB171" i="1" s="1"/>
  <c r="J199" i="1"/>
  <c r="J167" i="1"/>
  <c r="H206" i="5"/>
  <c r="H210" i="5" s="1"/>
  <c r="P129" i="5"/>
  <c r="P133" i="5"/>
  <c r="L130" i="5"/>
  <c r="L134" i="5" s="1"/>
  <c r="J128" i="5"/>
  <c r="AF137" i="5" s="1"/>
  <c r="AF140" i="5" s="1"/>
  <c r="P16" i="5"/>
  <c r="P20" i="5" s="1"/>
  <c r="N14" i="5"/>
  <c r="R130" i="5"/>
  <c r="R134" i="5" s="1"/>
  <c r="D163" i="1"/>
  <c r="Y171" i="1" s="1"/>
  <c r="N126" i="1"/>
  <c r="AD134" i="1" s="1"/>
  <c r="D199" i="1"/>
  <c r="F167" i="1"/>
  <c r="J162" i="1"/>
  <c r="K162" i="1" s="1"/>
  <c r="D93" i="1"/>
  <c r="F206" i="5"/>
  <c r="F210" i="5" s="1"/>
  <c r="N129" i="5"/>
  <c r="L133" i="5"/>
  <c r="H130" i="5"/>
  <c r="H134" i="5" s="1"/>
  <c r="H128" i="5"/>
  <c r="AE137" i="5" s="1"/>
  <c r="AE140" i="5" s="1"/>
  <c r="F129" i="5"/>
  <c r="H133" i="5"/>
  <c r="D130" i="5"/>
  <c r="D134" i="5" s="1"/>
  <c r="F19" i="1"/>
  <c r="J200" i="1"/>
  <c r="AB208" i="1" s="1"/>
  <c r="H127" i="1"/>
  <c r="H131" i="1" s="1"/>
  <c r="F56" i="1"/>
  <c r="J205" i="5"/>
  <c r="D209" i="5"/>
  <c r="N204" i="5"/>
  <c r="AH213" i="5" s="1"/>
  <c r="AH216" i="5" s="1"/>
  <c r="AH219" i="5" s="1"/>
  <c r="D129" i="5"/>
  <c r="F133" i="5"/>
  <c r="R128" i="5"/>
  <c r="AJ137" i="5" s="1"/>
  <c r="AJ140" i="5" s="1"/>
  <c r="AJ143" i="5" s="1"/>
  <c r="D19" i="12"/>
  <c r="P19" i="12"/>
  <c r="H19" i="12"/>
  <c r="N19" i="12"/>
  <c r="L16" i="12"/>
  <c r="L20" i="12" s="1"/>
  <c r="AL2" i="8"/>
  <c r="D15" i="12"/>
  <c r="R19" i="12"/>
  <c r="J19" i="12"/>
  <c r="R16" i="12"/>
  <c r="R20" i="12" s="1"/>
  <c r="P16" i="12"/>
  <c r="P20" i="12" s="1"/>
  <c r="P22" i="12" s="1"/>
  <c r="AI31" i="12" s="1"/>
  <c r="AI32" i="12" s="1"/>
  <c r="F16" i="12"/>
  <c r="F20" i="12" s="1"/>
  <c r="P15" i="12"/>
  <c r="J15" i="12"/>
  <c r="L19" i="12"/>
  <c r="F19" i="12"/>
  <c r="AH64" i="5"/>
  <c r="AH67" i="5" s="1"/>
  <c r="AI102" i="5"/>
  <c r="AI103" i="5" s="1"/>
  <c r="AI104" i="5" s="1"/>
  <c r="AC216" i="5"/>
  <c r="AC219" i="5" s="1"/>
  <c r="AC98" i="1"/>
  <c r="AI61" i="5"/>
  <c r="AI64" i="5" s="1"/>
  <c r="AI67" i="5" s="1"/>
  <c r="AJ64" i="5"/>
  <c r="AJ65" i="5" s="1"/>
  <c r="AJ66" i="5" s="1"/>
  <c r="R96" i="5"/>
  <c r="M90" i="1"/>
  <c r="AE26" i="5"/>
  <c r="AE29" i="5" s="1"/>
  <c r="Z175" i="1"/>
  <c r="Z176" i="1" s="1"/>
  <c r="Z177" i="1" s="1"/>
  <c r="AC178" i="5"/>
  <c r="AC179" i="5" s="1"/>
  <c r="AC180" i="5" s="1"/>
  <c r="L94" i="1"/>
  <c r="AF64" i="5"/>
  <c r="AF67" i="5" s="1"/>
  <c r="AH99" i="5"/>
  <c r="AH102" i="5" s="1"/>
  <c r="J168" i="1"/>
  <c r="N42" i="5"/>
  <c r="Y101" i="1"/>
  <c r="Y102" i="1" s="1"/>
  <c r="Y103" i="1" s="1"/>
  <c r="R172" i="5"/>
  <c r="G7" i="15"/>
  <c r="P58" i="5"/>
  <c r="AD140" i="5"/>
  <c r="AD143" i="5" s="1"/>
  <c r="K164" i="1"/>
  <c r="X202" i="8"/>
  <c r="X203" i="8"/>
  <c r="AF102" i="5"/>
  <c r="E123" i="8"/>
  <c r="W162" i="8"/>
  <c r="W163" i="8"/>
  <c r="J14" i="12"/>
  <c r="AF23" i="12" s="1"/>
  <c r="AF26" i="12" s="1"/>
  <c r="H15" i="12"/>
  <c r="L14" i="12"/>
  <c r="N14" i="12"/>
  <c r="AH23" i="12" s="1"/>
  <c r="AH26" i="12" s="1"/>
  <c r="L15" i="12"/>
  <c r="H16" i="12"/>
  <c r="H20" i="12" s="1"/>
  <c r="P14" i="12"/>
  <c r="AI23" i="12" s="1"/>
  <c r="AI26" i="12" s="1"/>
  <c r="D16" i="12"/>
  <c r="N15" i="12"/>
  <c r="J16" i="12"/>
  <c r="J20" i="12" s="1"/>
  <c r="R14" i="12"/>
  <c r="AJ23" i="12" s="1"/>
  <c r="AJ26" i="12" s="1"/>
  <c r="D14" i="12"/>
  <c r="R15" i="12"/>
  <c r="N16" i="12"/>
  <c r="Y162" i="8"/>
  <c r="Y163" i="8"/>
  <c r="F203" i="8"/>
  <c r="I43" i="8"/>
  <c r="F3" i="8"/>
  <c r="I123" i="8"/>
  <c r="I163" i="8"/>
  <c r="F43" i="8"/>
  <c r="I203" i="8"/>
  <c r="F83" i="8"/>
  <c r="I3" i="8"/>
  <c r="H43" i="8"/>
  <c r="E83" i="8"/>
  <c r="AA42" i="8"/>
  <c r="AA43" i="8"/>
  <c r="Y123" i="8"/>
  <c r="Y125" i="8" s="1"/>
  <c r="E163" i="8"/>
  <c r="H3" i="8"/>
  <c r="E3" i="8"/>
  <c r="H83" i="8"/>
  <c r="H123" i="8"/>
  <c r="H163" i="8"/>
  <c r="E43" i="8"/>
  <c r="H203" i="8"/>
  <c r="W82" i="8"/>
  <c r="W83" i="8"/>
  <c r="W2" i="8"/>
  <c r="W3" i="8"/>
  <c r="AF2" i="1"/>
  <c r="R70" i="11" s="1"/>
  <c r="AA2" i="8"/>
  <c r="I83" i="8"/>
  <c r="W43" i="8"/>
  <c r="D123" i="8"/>
  <c r="G83" i="8"/>
  <c r="D203" i="8"/>
  <c r="G163" i="8"/>
  <c r="G203" i="8"/>
  <c r="H14" i="12"/>
  <c r="AE23" i="12" s="1"/>
  <c r="AE26" i="12" s="1"/>
  <c r="AA3" i="8"/>
  <c r="AA122" i="8"/>
  <c r="AA123" i="8"/>
  <c r="W42" i="8"/>
  <c r="F14" i="12"/>
  <c r="AD23" i="12" s="1"/>
  <c r="AD26" i="12" s="1"/>
  <c r="J7" i="15"/>
  <c r="B4" i="15" s="1"/>
  <c r="AH2" i="1"/>
  <c r="R82" i="11" s="1"/>
  <c r="M9" i="16"/>
  <c r="I27" i="17" s="1"/>
  <c r="M7" i="15"/>
  <c r="M9" i="15"/>
  <c r="M7" i="16"/>
  <c r="I26" i="17" s="1"/>
  <c r="S9" i="16"/>
  <c r="M26" i="17" s="1"/>
  <c r="J9" i="15"/>
  <c r="G7" i="16"/>
  <c r="C26" i="17" s="1"/>
  <c r="G9" i="16"/>
  <c r="C27" i="17" s="1"/>
  <c r="J7" i="16"/>
  <c r="J9" i="16"/>
  <c r="F27" i="17" s="1"/>
  <c r="G9" i="15"/>
  <c r="S11" i="15"/>
  <c r="S9" i="15" s="1"/>
  <c r="J94" i="1"/>
  <c r="N201" i="1"/>
  <c r="H204" i="1"/>
  <c r="H53" i="1"/>
  <c r="D56" i="1"/>
  <c r="J56" i="1"/>
  <c r="D53" i="1"/>
  <c r="J51" i="1"/>
  <c r="AJ2" i="1"/>
  <c r="R94" i="11" s="1"/>
  <c r="J201" i="1"/>
  <c r="AI2" i="1"/>
  <c r="R88" i="11" s="1"/>
  <c r="H201" i="1"/>
  <c r="N130" i="1"/>
  <c r="H125" i="1"/>
  <c r="N56" i="1"/>
  <c r="N52" i="1"/>
  <c r="AD60" i="1" s="1"/>
  <c r="H51" i="1"/>
  <c r="H41" i="1" s="1"/>
  <c r="L16" i="1"/>
  <c r="L14" i="1"/>
  <c r="F4" i="1" s="1"/>
  <c r="L15" i="1"/>
  <c r="AC23" i="1" s="1"/>
  <c r="N127" i="1"/>
  <c r="H56" i="1"/>
  <c r="I150" i="1"/>
  <c r="I2" i="1"/>
  <c r="F16" i="1"/>
  <c r="F15" i="1"/>
  <c r="F125" i="1"/>
  <c r="L125" i="1"/>
  <c r="F130" i="1"/>
  <c r="I76" i="1"/>
  <c r="D204" i="1"/>
  <c r="H199" i="1"/>
  <c r="H189" i="1" s="1"/>
  <c r="D127" i="1"/>
  <c r="D130" i="1"/>
  <c r="D125" i="1"/>
  <c r="D115" i="1" s="1"/>
  <c r="J127" i="1"/>
  <c r="N53" i="1"/>
  <c r="L58" i="5"/>
  <c r="D90" i="1"/>
  <c r="F88" i="1"/>
  <c r="F78" i="1" s="1"/>
  <c r="L53" i="1"/>
  <c r="N209" i="5"/>
  <c r="H209" i="5"/>
  <c r="D206" i="5"/>
  <c r="J204" i="5"/>
  <c r="J167" i="5"/>
  <c r="J166" i="5"/>
  <c r="AF175" i="5" s="1"/>
  <c r="AF178" i="5" s="1"/>
  <c r="N168" i="5"/>
  <c r="N172" i="5" s="1"/>
  <c r="P171" i="5"/>
  <c r="H167" i="5"/>
  <c r="H166" i="5"/>
  <c r="L168" i="5"/>
  <c r="J171" i="5"/>
  <c r="F167" i="5"/>
  <c r="H96" i="5"/>
  <c r="G187" i="1"/>
  <c r="F53" i="1"/>
  <c r="L205" i="5"/>
  <c r="R209" i="5"/>
  <c r="L209" i="5"/>
  <c r="L206" i="5"/>
  <c r="R166" i="5"/>
  <c r="AJ175" i="5" s="1"/>
  <c r="AJ178" i="5" s="1"/>
  <c r="AG2" i="1"/>
  <c r="R76" i="11" s="1"/>
  <c r="AE2" i="1"/>
  <c r="R64" i="11" s="1"/>
  <c r="F51" i="1"/>
  <c r="F41" i="1" s="1"/>
  <c r="L204" i="5"/>
  <c r="P206" i="5"/>
  <c r="P210" i="5" s="1"/>
  <c r="F209" i="5"/>
  <c r="R205" i="5"/>
  <c r="R167" i="5"/>
  <c r="F171" i="5"/>
  <c r="J168" i="5"/>
  <c r="J172" i="5" s="1"/>
  <c r="P166" i="5"/>
  <c r="AI175" i="5" s="1"/>
  <c r="AI178" i="5" s="1"/>
  <c r="P167" i="5"/>
  <c r="L171" i="5"/>
  <c r="D171" i="5"/>
  <c r="H168" i="5"/>
  <c r="H172" i="5" s="1"/>
  <c r="N166" i="5"/>
  <c r="AH175" i="5" s="1"/>
  <c r="AH178" i="5" s="1"/>
  <c r="P96" i="5"/>
  <c r="N167" i="5"/>
  <c r="R171" i="5"/>
  <c r="F168" i="5"/>
  <c r="F172" i="5" s="1"/>
  <c r="L166" i="5"/>
  <c r="J129" i="5"/>
  <c r="N133" i="5"/>
  <c r="J130" i="5"/>
  <c r="J134" i="5" s="1"/>
  <c r="D128" i="5"/>
  <c r="F91" i="5"/>
  <c r="R95" i="5"/>
  <c r="F92" i="5"/>
  <c r="L14" i="5"/>
  <c r="J14" i="5"/>
  <c r="L129" i="5"/>
  <c r="D133" i="5"/>
  <c r="J19" i="5"/>
  <c r="L16" i="5"/>
  <c r="D118" i="5" l="1"/>
  <c r="M51" i="1"/>
  <c r="AC59" i="1"/>
  <c r="AC64" i="1" s="1"/>
  <c r="AC65" i="1" s="1"/>
  <c r="AC66" i="1" s="1"/>
  <c r="AB98" i="1"/>
  <c r="N125" i="1"/>
  <c r="H115" i="1" s="1"/>
  <c r="H126" i="1"/>
  <c r="AA134" i="1" s="1"/>
  <c r="N5" i="5"/>
  <c r="Z26" i="5" s="1"/>
  <c r="AC61" i="5"/>
  <c r="AC64" i="5" s="1"/>
  <c r="AC65" i="5" s="1"/>
  <c r="AC66" i="5" s="1"/>
  <c r="D42" i="5"/>
  <c r="X63" i="5" s="1"/>
  <c r="X68" i="5" s="1"/>
  <c r="X71" i="5" s="1"/>
  <c r="N43" i="5"/>
  <c r="Z64" i="5" s="1"/>
  <c r="N81" i="5"/>
  <c r="Z102" i="5" s="1"/>
  <c r="D194" i="5"/>
  <c r="AC99" i="5"/>
  <c r="AC102" i="5" s="1"/>
  <c r="D80" i="5"/>
  <c r="D156" i="5"/>
  <c r="F115" i="1"/>
  <c r="Y207" i="1"/>
  <c r="Y212" i="1" s="1"/>
  <c r="Y213" i="1" s="1"/>
  <c r="Y214" i="1" s="1"/>
  <c r="D189" i="1"/>
  <c r="AH23" i="5"/>
  <c r="AH26" i="5" s="1"/>
  <c r="AH29" i="5" s="1"/>
  <c r="D4" i="5"/>
  <c r="F152" i="1"/>
  <c r="U170" i="1" s="1"/>
  <c r="U175" i="1" s="1"/>
  <c r="U176" i="1" s="1"/>
  <c r="U177" i="1" s="1"/>
  <c r="U178" i="1" s="1"/>
  <c r="D41" i="1"/>
  <c r="Y170" i="1"/>
  <c r="Y175" i="1" s="1"/>
  <c r="Y178" i="1" s="1"/>
  <c r="D152" i="1"/>
  <c r="D53" i="11" s="1"/>
  <c r="R28" i="17" s="1"/>
  <c r="AB96" i="1"/>
  <c r="AB101" i="1" s="1"/>
  <c r="AB102" i="1" s="1"/>
  <c r="AB103" i="1" s="1"/>
  <c r="D78" i="1"/>
  <c r="L22" i="12"/>
  <c r="D4" i="1"/>
  <c r="D33" i="11" s="1"/>
  <c r="P21" i="12"/>
  <c r="F42" i="1"/>
  <c r="D20" i="1"/>
  <c r="D22" i="1" s="1"/>
  <c r="E22" i="1" s="1"/>
  <c r="F116" i="1"/>
  <c r="F49" i="11" s="1"/>
  <c r="T24" i="17" s="1"/>
  <c r="H60" i="5"/>
  <c r="I60" i="5" s="1"/>
  <c r="R173" i="5"/>
  <c r="N82" i="5"/>
  <c r="O82" i="5" s="1"/>
  <c r="N22" i="5"/>
  <c r="O22" i="5" s="1"/>
  <c r="R60" i="5"/>
  <c r="R59" i="5"/>
  <c r="K88" i="1"/>
  <c r="F79" i="1"/>
  <c r="T96" i="1"/>
  <c r="T101" i="1" s="1"/>
  <c r="T102" i="1" s="1"/>
  <c r="T103" i="1" s="1"/>
  <c r="H21" i="5"/>
  <c r="D43" i="5"/>
  <c r="X64" i="5" s="1"/>
  <c r="H194" i="5"/>
  <c r="E204" i="5" s="1"/>
  <c r="F117" i="1"/>
  <c r="F50" i="11" s="1"/>
  <c r="D5" i="5"/>
  <c r="D66" i="11" s="1"/>
  <c r="Y209" i="1"/>
  <c r="H135" i="5"/>
  <c r="F131" i="1"/>
  <c r="F132" i="1" s="1"/>
  <c r="Z135" i="1"/>
  <c r="D60" i="5"/>
  <c r="AC69" i="5" s="1"/>
  <c r="D59" i="5"/>
  <c r="AD219" i="5"/>
  <c r="AD217" i="5"/>
  <c r="AD218" i="5" s="1"/>
  <c r="H44" i="5"/>
  <c r="H43" i="5"/>
  <c r="Y64" i="5" s="1"/>
  <c r="AB170" i="1"/>
  <c r="AB175" i="1" s="1"/>
  <c r="AB178" i="1" s="1"/>
  <c r="X66" i="5"/>
  <c r="S65" i="2" s="1"/>
  <c r="H5" i="5"/>
  <c r="Y26" i="5" s="1"/>
  <c r="L96" i="5"/>
  <c r="L98" i="5" s="1"/>
  <c r="M98" i="5" s="1"/>
  <c r="N44" i="5"/>
  <c r="N80" i="5"/>
  <c r="Q90" i="5" s="1"/>
  <c r="H42" i="5"/>
  <c r="E52" i="5" s="1"/>
  <c r="L131" i="1"/>
  <c r="D97" i="5"/>
  <c r="Z134" i="1"/>
  <c r="F153" i="1"/>
  <c r="F54" i="11" s="1"/>
  <c r="T29" i="17" s="1"/>
  <c r="D205" i="1"/>
  <c r="D206" i="1" s="1"/>
  <c r="H116" i="1"/>
  <c r="V134" i="1" s="1"/>
  <c r="Z28" i="1"/>
  <c r="Z29" i="1" s="1"/>
  <c r="H195" i="5"/>
  <c r="Y216" i="5" s="1"/>
  <c r="E162" i="1"/>
  <c r="N58" i="5"/>
  <c r="N60" i="5" s="1"/>
  <c r="D44" i="5"/>
  <c r="F73" i="11" s="1"/>
  <c r="E80" i="5"/>
  <c r="I77" i="11" s="1"/>
  <c r="W58" i="17" s="1"/>
  <c r="N98" i="5"/>
  <c r="N97" i="5"/>
  <c r="F96" i="1"/>
  <c r="F95" i="1"/>
  <c r="AF143" i="5"/>
  <c r="AF141" i="5"/>
  <c r="AF142" i="5" s="1"/>
  <c r="F80" i="1"/>
  <c r="F45" i="11" s="1"/>
  <c r="T20" i="17" s="1"/>
  <c r="D42" i="1"/>
  <c r="D39" i="11" s="1"/>
  <c r="D5" i="1"/>
  <c r="D34" i="11" s="1"/>
  <c r="K16" i="1"/>
  <c r="D190" i="1"/>
  <c r="D59" i="11" s="1"/>
  <c r="R34" i="17" s="1"/>
  <c r="H4" i="5"/>
  <c r="E14" i="5" s="1"/>
  <c r="AG65" i="5"/>
  <c r="AG66" i="5" s="1"/>
  <c r="H22" i="5"/>
  <c r="H80" i="5"/>
  <c r="E90" i="5" s="1"/>
  <c r="H6" i="5"/>
  <c r="I6" i="5" s="1"/>
  <c r="X104" i="5"/>
  <c r="S66" i="2" s="1"/>
  <c r="D154" i="1"/>
  <c r="D55" i="11" s="1"/>
  <c r="R30" i="17" s="1"/>
  <c r="AE27" i="5"/>
  <c r="AE28" i="5" s="1"/>
  <c r="N118" i="5"/>
  <c r="S128" i="5" s="1"/>
  <c r="D116" i="1"/>
  <c r="T134" i="1" s="1"/>
  <c r="E16" i="1"/>
  <c r="L135" i="5"/>
  <c r="F211" i="5"/>
  <c r="F168" i="1"/>
  <c r="F170" i="1" s="1"/>
  <c r="AI65" i="5"/>
  <c r="AI66" i="5" s="1"/>
  <c r="M127" i="1"/>
  <c r="AC135" i="1"/>
  <c r="L170" i="1"/>
  <c r="L169" i="1"/>
  <c r="D135" i="5"/>
  <c r="D98" i="5"/>
  <c r="N211" i="5"/>
  <c r="AC217" i="5"/>
  <c r="AC218" i="5" s="1"/>
  <c r="D79" i="1"/>
  <c r="T97" i="1" s="1"/>
  <c r="J57" i="1"/>
  <c r="J58" i="1" s="1"/>
  <c r="F154" i="1"/>
  <c r="F55" i="11" s="1"/>
  <c r="E199" i="1"/>
  <c r="M164" i="1"/>
  <c r="AC172" i="1"/>
  <c r="H136" i="5"/>
  <c r="I136" i="5" s="1"/>
  <c r="G164" i="1"/>
  <c r="O199" i="1"/>
  <c r="AD207" i="1"/>
  <c r="AD212" i="1" s="1"/>
  <c r="AD215" i="1" s="1"/>
  <c r="Y59" i="1"/>
  <c r="Y64" i="1" s="1"/>
  <c r="Y67" i="1" s="1"/>
  <c r="E51" i="1"/>
  <c r="H59" i="5"/>
  <c r="H190" i="1"/>
  <c r="H59" i="11" s="1"/>
  <c r="Z98" i="1"/>
  <c r="G90" i="1"/>
  <c r="D6" i="1"/>
  <c r="D35" i="11" s="1"/>
  <c r="J20" i="1"/>
  <c r="J22" i="1" s="1"/>
  <c r="K53" i="1"/>
  <c r="AC96" i="1"/>
  <c r="AC101" i="1" s="1"/>
  <c r="AC104" i="1" s="1"/>
  <c r="M88" i="1"/>
  <c r="Y22" i="1"/>
  <c r="Y27" i="1" s="1"/>
  <c r="Y28" i="1" s="1"/>
  <c r="Y29" i="1" s="1"/>
  <c r="E14" i="1"/>
  <c r="AC170" i="1"/>
  <c r="AC175" i="1" s="1"/>
  <c r="AC176" i="1" s="1"/>
  <c r="AC177" i="1" s="1"/>
  <c r="M162" i="1"/>
  <c r="AH141" i="5"/>
  <c r="AH142" i="5" s="1"/>
  <c r="AH143" i="5"/>
  <c r="R22" i="5"/>
  <c r="R21" i="5"/>
  <c r="P136" i="5"/>
  <c r="P135" i="5"/>
  <c r="AG141" i="5"/>
  <c r="AG142" i="5" s="1"/>
  <c r="AG143" i="5"/>
  <c r="L136" i="5"/>
  <c r="AG103" i="5"/>
  <c r="AG104" i="5" s="1"/>
  <c r="AB207" i="1"/>
  <c r="AB212" i="1" s="1"/>
  <c r="AB213" i="1" s="1"/>
  <c r="AB214" i="1" s="1"/>
  <c r="K199" i="1"/>
  <c r="N135" i="5"/>
  <c r="H119" i="5"/>
  <c r="Y140" i="5" s="1"/>
  <c r="AJ217" i="5"/>
  <c r="AJ218" i="5" s="1"/>
  <c r="N120" i="5"/>
  <c r="Z141" i="5" s="1"/>
  <c r="AD29" i="5"/>
  <c r="Y172" i="1"/>
  <c r="E164" i="1"/>
  <c r="AI105" i="5"/>
  <c r="D153" i="1"/>
  <c r="J174" i="5"/>
  <c r="AF183" i="5" s="1"/>
  <c r="D58" i="11"/>
  <c r="AJ67" i="5"/>
  <c r="H211" i="5"/>
  <c r="G152" i="1"/>
  <c r="G53" i="11" s="1"/>
  <c r="U28" i="17" s="1"/>
  <c r="AD179" i="5"/>
  <c r="AD180" i="5" s="1"/>
  <c r="AE219" i="5"/>
  <c r="AB104" i="1"/>
  <c r="I127" i="1"/>
  <c r="AA135" i="1"/>
  <c r="N119" i="5"/>
  <c r="Z140" i="5" s="1"/>
  <c r="R97" i="5"/>
  <c r="F53" i="11"/>
  <c r="T28" i="17" s="1"/>
  <c r="N21" i="5"/>
  <c r="F21" i="12"/>
  <c r="F22" i="12"/>
  <c r="G22" i="12" s="1"/>
  <c r="L21" i="12"/>
  <c r="R22" i="12"/>
  <c r="S22" i="12" s="1"/>
  <c r="R21" i="12"/>
  <c r="Q22" i="12"/>
  <c r="Y176" i="1"/>
  <c r="Y177" i="1" s="1"/>
  <c r="AH65" i="5"/>
  <c r="AH66" i="5" s="1"/>
  <c r="W47" i="5"/>
  <c r="AA70" i="11" s="1"/>
  <c r="Z139" i="5"/>
  <c r="Z144" i="5" s="1"/>
  <c r="Z145" i="5" s="1"/>
  <c r="Z146" i="5" s="1"/>
  <c r="E42" i="5"/>
  <c r="G71" i="11" s="1"/>
  <c r="U52" i="17" s="1"/>
  <c r="AC181" i="5"/>
  <c r="AD65" i="1"/>
  <c r="AD66" i="1" s="1"/>
  <c r="T22" i="1"/>
  <c r="T27" i="1" s="1"/>
  <c r="AC29" i="5"/>
  <c r="Z178" i="1"/>
  <c r="D173" i="5"/>
  <c r="AJ141" i="5"/>
  <c r="AJ142" i="5" s="1"/>
  <c r="AI219" i="5"/>
  <c r="AF65" i="5"/>
  <c r="AF66" i="5" s="1"/>
  <c r="AH217" i="5"/>
  <c r="AH218" i="5" s="1"/>
  <c r="AC67" i="5"/>
  <c r="AD65" i="5"/>
  <c r="AD66" i="5" s="1"/>
  <c r="R211" i="5"/>
  <c r="J21" i="5"/>
  <c r="AD141" i="5"/>
  <c r="AD142" i="5" s="1"/>
  <c r="AJ103" i="5"/>
  <c r="AJ104" i="5" s="1"/>
  <c r="AB30" i="1"/>
  <c r="AJ29" i="5"/>
  <c r="AJ27" i="5"/>
  <c r="AJ28" i="5" s="1"/>
  <c r="H157" i="5"/>
  <c r="Y178" i="5" s="1"/>
  <c r="AE105" i="5"/>
  <c r="Y215" i="1"/>
  <c r="AH27" i="5"/>
  <c r="AH28" i="5" s="1"/>
  <c r="L96" i="1"/>
  <c r="L95" i="1"/>
  <c r="U134" i="1"/>
  <c r="F44" i="11"/>
  <c r="U97" i="1"/>
  <c r="AE67" i="5"/>
  <c r="F39" i="11"/>
  <c r="U60" i="1"/>
  <c r="S43" i="1"/>
  <c r="U49" i="11"/>
  <c r="AI33" i="12"/>
  <c r="AG31" i="12"/>
  <c r="M22" i="12"/>
  <c r="AC67" i="1"/>
  <c r="H156" i="5"/>
  <c r="E166" i="5" s="1"/>
  <c r="Y104" i="1"/>
  <c r="N157" i="5"/>
  <c r="Z178" i="5" s="1"/>
  <c r="T23" i="1"/>
  <c r="F173" i="5"/>
  <c r="N195" i="5"/>
  <c r="Z216" i="5" s="1"/>
  <c r="P173" i="5"/>
  <c r="Z63" i="5"/>
  <c r="Z68" i="5" s="1"/>
  <c r="M52" i="5"/>
  <c r="Q52" i="5"/>
  <c r="O52" i="5"/>
  <c r="O42" i="5"/>
  <c r="S52" i="5"/>
  <c r="AB141" i="1"/>
  <c r="P60" i="5"/>
  <c r="P59" i="5"/>
  <c r="AI29" i="5"/>
  <c r="AI27" i="5"/>
  <c r="AI28" i="5" s="1"/>
  <c r="AC105" i="5"/>
  <c r="AC103" i="5"/>
  <c r="AC104" i="5" s="1"/>
  <c r="J170" i="1"/>
  <c r="J169" i="1"/>
  <c r="G204" i="5"/>
  <c r="F33" i="11"/>
  <c r="G4" i="1"/>
  <c r="U22" i="1"/>
  <c r="U27" i="1" s="1"/>
  <c r="F96" i="5"/>
  <c r="D82" i="5"/>
  <c r="H79" i="11" s="1"/>
  <c r="H82" i="5"/>
  <c r="D120" i="5"/>
  <c r="D85" i="11" s="1"/>
  <c r="F64" i="11"/>
  <c r="T45" i="17" s="1"/>
  <c r="I65" i="11"/>
  <c r="W46" i="17" s="1"/>
  <c r="F66" i="11"/>
  <c r="G67" i="11"/>
  <c r="U48" i="17" s="1"/>
  <c r="H64" i="11"/>
  <c r="V45" i="17" s="1"/>
  <c r="F65" i="11"/>
  <c r="G66" i="11"/>
  <c r="U47" i="17" s="1"/>
  <c r="H67" i="11"/>
  <c r="G65" i="11"/>
  <c r="U46" i="17" s="1"/>
  <c r="H66" i="11"/>
  <c r="E67" i="11"/>
  <c r="S48" i="17" s="1"/>
  <c r="I67" i="11"/>
  <c r="W48" i="17" s="1"/>
  <c r="D64" i="11"/>
  <c r="R45" i="17" s="1"/>
  <c r="H65" i="11"/>
  <c r="E66" i="11"/>
  <c r="S47" i="17" s="1"/>
  <c r="I66" i="11"/>
  <c r="W47" i="17" s="1"/>
  <c r="F67" i="11"/>
  <c r="O63" i="11"/>
  <c r="H120" i="5"/>
  <c r="Z96" i="1"/>
  <c r="Z101" i="1" s="1"/>
  <c r="G88" i="1"/>
  <c r="J131" i="1"/>
  <c r="K127" i="1"/>
  <c r="AB135" i="1"/>
  <c r="F136" i="5"/>
  <c r="F135" i="5"/>
  <c r="D174" i="5"/>
  <c r="H117" i="1"/>
  <c r="N131" i="1"/>
  <c r="N133" i="1" s="1"/>
  <c r="O127" i="1"/>
  <c r="AD135" i="1"/>
  <c r="D195" i="5"/>
  <c r="H96" i="11" s="1"/>
  <c r="J205" i="1"/>
  <c r="D191" i="1"/>
  <c r="AB209" i="1"/>
  <c r="K201" i="1"/>
  <c r="H57" i="1"/>
  <c r="H59" i="1" s="1"/>
  <c r="H43" i="1"/>
  <c r="I53" i="1"/>
  <c r="AA61" i="1"/>
  <c r="H42" i="1"/>
  <c r="AB203" i="8"/>
  <c r="AB202" i="8"/>
  <c r="X83" i="8"/>
  <c r="X82" i="8"/>
  <c r="Y43" i="8"/>
  <c r="Y42" i="8"/>
  <c r="AF27" i="12"/>
  <c r="AF28" i="12" s="1"/>
  <c r="AF29" i="12"/>
  <c r="R174" i="5"/>
  <c r="AH181" i="5"/>
  <c r="AH179" i="5"/>
  <c r="AH180" i="5" s="1"/>
  <c r="D22" i="5"/>
  <c r="D21" i="5"/>
  <c r="H98" i="5"/>
  <c r="H97" i="5"/>
  <c r="R136" i="5"/>
  <c r="R135" i="5"/>
  <c r="D94" i="1"/>
  <c r="D80" i="1"/>
  <c r="E90" i="1"/>
  <c r="Y98" i="1"/>
  <c r="S117" i="1"/>
  <c r="E125" i="1"/>
  <c r="Y133" i="1"/>
  <c r="Y138" i="1" s="1"/>
  <c r="D119" i="5"/>
  <c r="D84" i="11" s="1"/>
  <c r="H93" i="1"/>
  <c r="H90" i="1"/>
  <c r="H88" i="1"/>
  <c r="N93" i="1"/>
  <c r="N88" i="1"/>
  <c r="N90" i="1"/>
  <c r="H89" i="1"/>
  <c r="N89" i="1"/>
  <c r="AD97" i="1" s="1"/>
  <c r="F5" i="1"/>
  <c r="Z23" i="1"/>
  <c r="I51" i="1"/>
  <c r="AA59" i="1"/>
  <c r="AA64" i="1" s="1"/>
  <c r="F212" i="5"/>
  <c r="AD29" i="12"/>
  <c r="AD27" i="12"/>
  <c r="AD28" i="12" s="1"/>
  <c r="AH105" i="5"/>
  <c r="AH103" i="5"/>
  <c r="AH104" i="5" s="1"/>
  <c r="W5" i="8"/>
  <c r="X42" i="8"/>
  <c r="X43" i="8"/>
  <c r="W58" i="8" s="1"/>
  <c r="AB42" i="8"/>
  <c r="AB43" i="8"/>
  <c r="AC162" i="8"/>
  <c r="AC163" i="8"/>
  <c r="D6" i="12"/>
  <c r="E16" i="12"/>
  <c r="H6" i="12"/>
  <c r="D20" i="12"/>
  <c r="AE141" i="5"/>
  <c r="AE142" i="5" s="1"/>
  <c r="AE143" i="5"/>
  <c r="D81" i="5"/>
  <c r="H78" i="11" s="1"/>
  <c r="H81" i="5"/>
  <c r="Y102" i="5" s="1"/>
  <c r="N156" i="5"/>
  <c r="AG175" i="5"/>
  <c r="AG178" i="5" s="1"/>
  <c r="H174" i="5"/>
  <c r="H173" i="5"/>
  <c r="F57" i="1"/>
  <c r="F43" i="1"/>
  <c r="G53" i="1"/>
  <c r="Z61" i="1"/>
  <c r="P174" i="5"/>
  <c r="N174" i="5"/>
  <c r="N173" i="5"/>
  <c r="D157" i="5"/>
  <c r="F90" i="11" s="1"/>
  <c r="W45" i="8"/>
  <c r="AE29" i="12"/>
  <c r="AE27" i="12"/>
  <c r="AE28" i="12" s="1"/>
  <c r="AC82" i="8"/>
  <c r="AC83" i="8"/>
  <c r="AB162" i="8"/>
  <c r="AB163" i="8"/>
  <c r="AC2" i="8"/>
  <c r="AC3" i="8"/>
  <c r="AC122" i="8"/>
  <c r="AC123" i="8"/>
  <c r="N136" i="5"/>
  <c r="AI27" i="12"/>
  <c r="AI28" i="12" s="1"/>
  <c r="AI29" i="12"/>
  <c r="W165" i="8"/>
  <c r="D83" i="11"/>
  <c r="H118" i="5"/>
  <c r="AC137" i="5"/>
  <c r="AC140" i="5" s="1"/>
  <c r="X142" i="5"/>
  <c r="S67" i="2" s="1"/>
  <c r="F174" i="5"/>
  <c r="O44" i="5"/>
  <c r="Z65" i="5"/>
  <c r="F201" i="1"/>
  <c r="L204" i="1"/>
  <c r="F204" i="1"/>
  <c r="F199" i="1"/>
  <c r="L199" i="1"/>
  <c r="L201" i="1"/>
  <c r="F200" i="1"/>
  <c r="L200" i="1"/>
  <c r="AC208" i="1" s="1"/>
  <c r="O80" i="5"/>
  <c r="S90" i="5"/>
  <c r="AF179" i="5"/>
  <c r="AF180" i="5" s="1"/>
  <c r="AF181" i="5"/>
  <c r="AF213" i="5"/>
  <c r="AF216" i="5" s="1"/>
  <c r="X218" i="5"/>
  <c r="S69" i="2" s="1"/>
  <c r="L60" i="5"/>
  <c r="L59" i="5"/>
  <c r="D131" i="1"/>
  <c r="D133" i="1" s="1"/>
  <c r="D117" i="1"/>
  <c r="S118" i="1"/>
  <c r="Y135" i="1"/>
  <c r="E127" i="1"/>
  <c r="H95" i="11"/>
  <c r="AC133" i="1"/>
  <c r="AC138" i="1" s="1"/>
  <c r="M125" i="1"/>
  <c r="F6" i="1"/>
  <c r="F20" i="1"/>
  <c r="Z24" i="1"/>
  <c r="G16" i="1"/>
  <c r="H94" i="11"/>
  <c r="V76" i="17" s="1"/>
  <c r="D97" i="11"/>
  <c r="G95" i="11"/>
  <c r="U77" i="17" s="1"/>
  <c r="D96" i="11"/>
  <c r="F97" i="11"/>
  <c r="I96" i="11"/>
  <c r="W78" i="17" s="1"/>
  <c r="E96" i="11"/>
  <c r="S78" i="17" s="1"/>
  <c r="G97" i="11"/>
  <c r="U79" i="17" s="1"/>
  <c r="D95" i="11"/>
  <c r="D94" i="11"/>
  <c r="R76" i="17" s="1"/>
  <c r="F96" i="11"/>
  <c r="F94" i="11"/>
  <c r="T76" i="17" s="1"/>
  <c r="G96" i="11"/>
  <c r="U78" i="17" s="1"/>
  <c r="E97" i="11"/>
  <c r="S79" i="17" s="1"/>
  <c r="I97" i="11"/>
  <c r="W79" i="17" s="1"/>
  <c r="F95" i="11"/>
  <c r="E95" i="11"/>
  <c r="S77" i="17" s="1"/>
  <c r="O93" i="11"/>
  <c r="AC94" i="11"/>
  <c r="AA202" i="8"/>
  <c r="AA203" i="8"/>
  <c r="AA5" i="8"/>
  <c r="AB122" i="8"/>
  <c r="AB123" i="8"/>
  <c r="Y2" i="8"/>
  <c r="Y3" i="8"/>
  <c r="N6" i="12"/>
  <c r="N20" i="12"/>
  <c r="H22" i="12"/>
  <c r="H21" i="12"/>
  <c r="X205" i="8"/>
  <c r="L20" i="5"/>
  <c r="N6" i="5"/>
  <c r="D6" i="5"/>
  <c r="F89" i="11"/>
  <c r="I199" i="1"/>
  <c r="AA207" i="1"/>
  <c r="AA212" i="1" s="1"/>
  <c r="J212" i="5"/>
  <c r="J211" i="5"/>
  <c r="G125" i="1"/>
  <c r="Z133" i="1"/>
  <c r="Z138" i="1" s="1"/>
  <c r="R212" i="5"/>
  <c r="AA133" i="1"/>
  <c r="AA138" i="1" s="1"/>
  <c r="I125" i="1"/>
  <c r="AB59" i="1"/>
  <c r="AB64" i="1" s="1"/>
  <c r="K51" i="1"/>
  <c r="F85" i="11"/>
  <c r="H82" i="11"/>
  <c r="V63" i="17" s="1"/>
  <c r="D82" i="11"/>
  <c r="R63" i="17" s="1"/>
  <c r="H83" i="11"/>
  <c r="E84" i="11"/>
  <c r="S65" i="17" s="1"/>
  <c r="I84" i="11"/>
  <c r="W65" i="17" s="1"/>
  <c r="H85" i="11"/>
  <c r="F82" i="11"/>
  <c r="T63" i="17" s="1"/>
  <c r="F83" i="11"/>
  <c r="F84" i="11"/>
  <c r="I85" i="11"/>
  <c r="W66" i="17" s="1"/>
  <c r="G83" i="11"/>
  <c r="U64" i="17" s="1"/>
  <c r="G84" i="11"/>
  <c r="U65" i="17" s="1"/>
  <c r="E85" i="11"/>
  <c r="S66" i="17" s="1"/>
  <c r="I83" i="11"/>
  <c r="W64" i="17" s="1"/>
  <c r="H84" i="11"/>
  <c r="G85" i="11"/>
  <c r="U66" i="17" s="1"/>
  <c r="O81" i="11"/>
  <c r="AC82" i="11"/>
  <c r="AA125" i="8"/>
  <c r="AA162" i="8"/>
  <c r="AA163" i="8"/>
  <c r="H212" i="5"/>
  <c r="AB82" i="8"/>
  <c r="AB83" i="8"/>
  <c r="AC43" i="8"/>
  <c r="AC42" i="8"/>
  <c r="N5" i="12"/>
  <c r="Z26" i="12" s="1"/>
  <c r="D77" i="11"/>
  <c r="E78" i="11"/>
  <c r="S59" i="17" s="1"/>
  <c r="I79" i="11"/>
  <c r="W60" i="17" s="1"/>
  <c r="F76" i="11"/>
  <c r="T57" i="17" s="1"/>
  <c r="G79" i="11"/>
  <c r="U60" i="17" s="1"/>
  <c r="F77" i="11"/>
  <c r="G78" i="11"/>
  <c r="U59" i="17" s="1"/>
  <c r="G77" i="11"/>
  <c r="U58" i="17" s="1"/>
  <c r="D78" i="11"/>
  <c r="E79" i="11"/>
  <c r="S60" i="17" s="1"/>
  <c r="D79" i="11"/>
  <c r="F79" i="11"/>
  <c r="F78" i="11"/>
  <c r="D76" i="11"/>
  <c r="R57" i="17" s="1"/>
  <c r="I78" i="11"/>
  <c r="W59" i="17" s="1"/>
  <c r="E77" i="11"/>
  <c r="S58" i="17" s="1"/>
  <c r="H76" i="11"/>
  <c r="V57" i="17" s="1"/>
  <c r="O75" i="11"/>
  <c r="F22" i="5"/>
  <c r="F21" i="5"/>
  <c r="P212" i="5"/>
  <c r="P211" i="5"/>
  <c r="AJ181" i="5"/>
  <c r="AJ179" i="5"/>
  <c r="AJ180" i="5" s="1"/>
  <c r="J173" i="5"/>
  <c r="J22" i="5"/>
  <c r="L133" i="1"/>
  <c r="L132" i="1"/>
  <c r="H16" i="1"/>
  <c r="H15" i="1"/>
  <c r="N14" i="1"/>
  <c r="H14" i="1"/>
  <c r="N16" i="1"/>
  <c r="N19" i="1"/>
  <c r="N15" i="1"/>
  <c r="AD23" i="1" s="1"/>
  <c r="H19" i="1"/>
  <c r="AC22" i="1"/>
  <c r="AC27" i="1" s="1"/>
  <c r="M14" i="1"/>
  <c r="D57" i="1"/>
  <c r="D59" i="1" s="1"/>
  <c r="S44" i="1"/>
  <c r="D43" i="1"/>
  <c r="E53" i="1"/>
  <c r="Y61" i="1"/>
  <c r="N205" i="1"/>
  <c r="AD209" i="1"/>
  <c r="O201" i="1"/>
  <c r="H133" i="1"/>
  <c r="H132" i="1"/>
  <c r="W202" i="8"/>
  <c r="W203" i="8"/>
  <c r="R98" i="5"/>
  <c r="W98" i="8"/>
  <c r="W85" i="8"/>
  <c r="X2" i="8"/>
  <c r="X3" i="8"/>
  <c r="AA45" i="8"/>
  <c r="Y82" i="8"/>
  <c r="Y83" i="8"/>
  <c r="Y203" i="8"/>
  <c r="Y202" i="8"/>
  <c r="X64" i="2"/>
  <c r="S71" i="2" s="1"/>
  <c r="D4" i="12"/>
  <c r="E14" i="12"/>
  <c r="AC23" i="12"/>
  <c r="AC26" i="12" s="1"/>
  <c r="H4" i="12"/>
  <c r="AH27" i="12"/>
  <c r="AH28" i="12" s="1"/>
  <c r="AH29" i="12"/>
  <c r="X122" i="8"/>
  <c r="X123" i="8"/>
  <c r="AI141" i="5"/>
  <c r="AI142" i="5" s="1"/>
  <c r="AI143" i="5"/>
  <c r="J136" i="5"/>
  <c r="J135" i="5"/>
  <c r="AF23" i="5"/>
  <c r="AF26" i="5" s="1"/>
  <c r="X28" i="5"/>
  <c r="S64" i="2" s="1"/>
  <c r="W86" i="5"/>
  <c r="G90" i="5"/>
  <c r="Y63" i="5"/>
  <c r="Y68" i="5" s="1"/>
  <c r="G52" i="5"/>
  <c r="N194" i="5"/>
  <c r="AG213" i="5"/>
  <c r="AG216" i="5" s="1"/>
  <c r="L210" i="5"/>
  <c r="L212" i="5" s="1"/>
  <c r="N196" i="5"/>
  <c r="L172" i="5"/>
  <c r="L174" i="5" s="1"/>
  <c r="N158" i="5"/>
  <c r="J60" i="5"/>
  <c r="J59" i="5"/>
  <c r="H158" i="5"/>
  <c r="D170" i="1"/>
  <c r="D169" i="1"/>
  <c r="H167" i="1"/>
  <c r="N167" i="1"/>
  <c r="H164" i="1"/>
  <c r="N162" i="1"/>
  <c r="H163" i="1"/>
  <c r="N163" i="1"/>
  <c r="AD171" i="1" s="1"/>
  <c r="N164" i="1"/>
  <c r="H162" i="1"/>
  <c r="L20" i="1"/>
  <c r="M16" i="1"/>
  <c r="AC24" i="1"/>
  <c r="H205" i="1"/>
  <c r="H207" i="1" s="1"/>
  <c r="H191" i="1"/>
  <c r="AA209" i="1"/>
  <c r="I201" i="1"/>
  <c r="J96" i="1"/>
  <c r="J95" i="1"/>
  <c r="F26" i="17"/>
  <c r="B4" i="16"/>
  <c r="N212" i="5"/>
  <c r="AA83" i="8"/>
  <c r="AA82" i="8"/>
  <c r="AB3" i="8"/>
  <c r="AB2" i="8"/>
  <c r="AJ29" i="12"/>
  <c r="AJ27" i="12"/>
  <c r="AJ28" i="12" s="1"/>
  <c r="AG23" i="12"/>
  <c r="AG26" i="12" s="1"/>
  <c r="N4" i="12"/>
  <c r="AD103" i="5"/>
  <c r="AD104" i="5" s="1"/>
  <c r="AD105" i="5"/>
  <c r="D196" i="5"/>
  <c r="H97" i="11" s="1"/>
  <c r="D210" i="5"/>
  <c r="H196" i="5"/>
  <c r="N4" i="5"/>
  <c r="AG23" i="5"/>
  <c r="AG26" i="5" s="1"/>
  <c r="Y27" i="5"/>
  <c r="P22" i="5"/>
  <c r="P21" i="5"/>
  <c r="P98" i="5"/>
  <c r="P97" i="5"/>
  <c r="AI181" i="5"/>
  <c r="AI179" i="5"/>
  <c r="AI180" i="5" s="1"/>
  <c r="G51" i="1"/>
  <c r="Z59" i="1"/>
  <c r="Z64" i="1" s="1"/>
  <c r="F60" i="5"/>
  <c r="F59" i="5"/>
  <c r="X180" i="5"/>
  <c r="S68" i="2" s="1"/>
  <c r="AE175" i="5"/>
  <c r="AE178" i="5" s="1"/>
  <c r="D136" i="5"/>
  <c r="L57" i="1"/>
  <c r="M53" i="1"/>
  <c r="AC61" i="1"/>
  <c r="N57" i="1"/>
  <c r="N59" i="1" s="1"/>
  <c r="O53" i="1"/>
  <c r="AD61" i="1"/>
  <c r="D158" i="5"/>
  <c r="F91" i="11" s="1"/>
  <c r="J98" i="5"/>
  <c r="J97" i="5"/>
  <c r="G91" i="11"/>
  <c r="U73" i="17" s="1"/>
  <c r="F88" i="11"/>
  <c r="T70" i="17" s="1"/>
  <c r="I89" i="11"/>
  <c r="W71" i="17" s="1"/>
  <c r="D88" i="11"/>
  <c r="R70" i="17" s="1"/>
  <c r="I90" i="11"/>
  <c r="W72" i="17" s="1"/>
  <c r="E89" i="11"/>
  <c r="S71" i="17" s="1"/>
  <c r="D90" i="11"/>
  <c r="H88" i="11"/>
  <c r="V70" i="17" s="1"/>
  <c r="E90" i="11"/>
  <c r="S72" i="17" s="1"/>
  <c r="H91" i="11"/>
  <c r="G90" i="11"/>
  <c r="U72" i="17" s="1"/>
  <c r="D91" i="11"/>
  <c r="I91" i="11"/>
  <c r="W73" i="17" s="1"/>
  <c r="H89" i="11"/>
  <c r="H90" i="11"/>
  <c r="E91" i="11"/>
  <c r="S73" i="17" s="1"/>
  <c r="D89" i="11"/>
  <c r="O87" i="11"/>
  <c r="AC88" i="11"/>
  <c r="W123" i="8"/>
  <c r="W122" i="8"/>
  <c r="D72" i="11"/>
  <c r="H73" i="11"/>
  <c r="D71" i="11"/>
  <c r="E72" i="11"/>
  <c r="S53" i="17" s="1"/>
  <c r="D70" i="11"/>
  <c r="R51" i="17" s="1"/>
  <c r="H71" i="11"/>
  <c r="I72" i="11"/>
  <c r="W53" i="17" s="1"/>
  <c r="E71" i="11"/>
  <c r="S52" i="17" s="1"/>
  <c r="F71" i="11"/>
  <c r="G73" i="11"/>
  <c r="U54" i="17" s="1"/>
  <c r="H70" i="11"/>
  <c r="V51" i="17" s="1"/>
  <c r="G72" i="11"/>
  <c r="U53" i="17" s="1"/>
  <c r="D73" i="11"/>
  <c r="H72" i="11"/>
  <c r="I73" i="11"/>
  <c r="W54" i="17" s="1"/>
  <c r="I71" i="11"/>
  <c r="W52" i="17" s="1"/>
  <c r="E73" i="11"/>
  <c r="S54" i="17" s="1"/>
  <c r="F70" i="11"/>
  <c r="T51" i="17" s="1"/>
  <c r="O69" i="11"/>
  <c r="X163" i="8"/>
  <c r="X162" i="8"/>
  <c r="AC202" i="8"/>
  <c r="AC203" i="8"/>
  <c r="Y178" i="8"/>
  <c r="Y165" i="8"/>
  <c r="J22" i="12"/>
  <c r="J21" i="12"/>
  <c r="D5" i="12"/>
  <c r="H5" i="12"/>
  <c r="Y26" i="12" s="1"/>
  <c r="AF105" i="5"/>
  <c r="AF103" i="5"/>
  <c r="AF104" i="5" s="1"/>
  <c r="H152" i="1" l="1"/>
  <c r="U135" i="1"/>
  <c r="O125" i="1"/>
  <c r="AD133" i="1"/>
  <c r="AD138" i="1" s="1"/>
  <c r="H4" i="1"/>
  <c r="W49" i="5"/>
  <c r="F189" i="1"/>
  <c r="H78" i="1"/>
  <c r="AJ31" i="12"/>
  <c r="AJ32" i="12" s="1"/>
  <c r="AE69" i="5"/>
  <c r="AE70" i="5" s="1"/>
  <c r="F133" i="1"/>
  <c r="D21" i="1"/>
  <c r="E4" i="1"/>
  <c r="AA58" i="8"/>
  <c r="W178" i="8"/>
  <c r="R8" i="17"/>
  <c r="Q33" i="11"/>
  <c r="X218" i="8"/>
  <c r="X216" i="8" s="1"/>
  <c r="F216" i="8" s="1"/>
  <c r="AD31" i="12"/>
  <c r="AD33" i="12" s="1"/>
  <c r="X69" i="5"/>
  <c r="X70" i="5" s="1"/>
  <c r="T104" i="1"/>
  <c r="Y101" i="5"/>
  <c r="Y106" i="5" s="1"/>
  <c r="W11" i="5"/>
  <c r="Z103" i="5"/>
  <c r="I90" i="5"/>
  <c r="AH31" i="5"/>
  <c r="AH32" i="5" s="1"/>
  <c r="I80" i="5"/>
  <c r="AC102" i="1"/>
  <c r="AC103" i="1" s="1"/>
  <c r="T65" i="2"/>
  <c r="K90" i="5"/>
  <c r="E60" i="5"/>
  <c r="D49" i="11"/>
  <c r="T49" i="11" s="1"/>
  <c r="O128" i="5"/>
  <c r="W48" i="5"/>
  <c r="M90" i="5"/>
  <c r="H58" i="1"/>
  <c r="I52" i="5"/>
  <c r="Z101" i="5"/>
  <c r="Z106" i="5" s="1"/>
  <c r="Y65" i="5"/>
  <c r="K52" i="5"/>
  <c r="I44" i="5"/>
  <c r="T64" i="2"/>
  <c r="I42" i="5"/>
  <c r="X26" i="5"/>
  <c r="T208" i="1"/>
  <c r="T59" i="11"/>
  <c r="O90" i="5"/>
  <c r="D207" i="1"/>
  <c r="E207" i="1" s="1"/>
  <c r="I194" i="5"/>
  <c r="W85" i="5"/>
  <c r="AA76" i="11" s="1"/>
  <c r="M77" i="11" s="1"/>
  <c r="K204" i="5"/>
  <c r="AG107" i="5"/>
  <c r="AG109" i="5" s="1"/>
  <c r="X65" i="5"/>
  <c r="Y215" i="5"/>
  <c r="Y220" i="5" s="1"/>
  <c r="Y221" i="5" s="1"/>
  <c r="Y222" i="5" s="1"/>
  <c r="H77" i="11"/>
  <c r="V58" i="17" s="1"/>
  <c r="G14" i="5"/>
  <c r="X101" i="5"/>
  <c r="X106" i="5" s="1"/>
  <c r="X107" i="5" s="1"/>
  <c r="X108" i="5" s="1"/>
  <c r="D43" i="11"/>
  <c r="U65" i="2"/>
  <c r="U54" i="11"/>
  <c r="Q53" i="11"/>
  <c r="O118" i="5"/>
  <c r="I204" i="5"/>
  <c r="Q128" i="5"/>
  <c r="F72" i="11"/>
  <c r="U72" i="11" s="1"/>
  <c r="U171" i="1"/>
  <c r="M128" i="5"/>
  <c r="E78" i="1"/>
  <c r="E43" i="11" s="1"/>
  <c r="S18" i="17" s="1"/>
  <c r="L97" i="5"/>
  <c r="S60" i="5"/>
  <c r="AJ69" i="5"/>
  <c r="I14" i="5"/>
  <c r="T207" i="1"/>
  <c r="T212" i="1" s="1"/>
  <c r="T213" i="1" s="1"/>
  <c r="T214" i="1" s="1"/>
  <c r="F169" i="1"/>
  <c r="Y25" i="5"/>
  <c r="Y30" i="5" s="1"/>
  <c r="AB176" i="1"/>
  <c r="AB177" i="1" s="1"/>
  <c r="K14" i="5"/>
  <c r="N59" i="5"/>
  <c r="I4" i="5"/>
  <c r="H49" i="11"/>
  <c r="V24" i="17" s="1"/>
  <c r="Y30" i="1"/>
  <c r="T172" i="1"/>
  <c r="Y32" i="1"/>
  <c r="Y33" i="1" s="1"/>
  <c r="J114" i="1"/>
  <c r="J40" i="1"/>
  <c r="W55" i="11"/>
  <c r="J21" i="1"/>
  <c r="I22" i="5"/>
  <c r="AE31" i="5"/>
  <c r="U98" i="1"/>
  <c r="T60" i="1"/>
  <c r="T170" i="1"/>
  <c r="T175" i="1" s="1"/>
  <c r="Z106" i="1"/>
  <c r="G96" i="1"/>
  <c r="E152" i="1"/>
  <c r="E53" i="11" s="1"/>
  <c r="S28" i="17" s="1"/>
  <c r="X45" i="11"/>
  <c r="AH107" i="5"/>
  <c r="O98" i="5"/>
  <c r="R53" i="11"/>
  <c r="U172" i="1"/>
  <c r="AD213" i="1"/>
  <c r="AD214" i="1" s="1"/>
  <c r="AB215" i="1"/>
  <c r="M71" i="11"/>
  <c r="AC70" i="11"/>
  <c r="E189" i="1"/>
  <c r="E58" i="11" s="1"/>
  <c r="S33" i="17" s="1"/>
  <c r="D44" i="11"/>
  <c r="R19" i="17" s="1"/>
  <c r="J59" i="1"/>
  <c r="AB69" i="1" s="1"/>
  <c r="T24" i="1"/>
  <c r="W162" i="5"/>
  <c r="K174" i="5"/>
  <c r="Y65" i="1"/>
  <c r="Y66" i="1" s="1"/>
  <c r="AC107" i="5"/>
  <c r="E98" i="5"/>
  <c r="AE145" i="5"/>
  <c r="V208" i="1"/>
  <c r="O120" i="5"/>
  <c r="N132" i="1"/>
  <c r="AC178" i="1"/>
  <c r="M170" i="1"/>
  <c r="AC180" i="1"/>
  <c r="D58" i="1"/>
  <c r="D54" i="11"/>
  <c r="T171" i="1"/>
  <c r="Q136" i="5"/>
  <c r="AI145" i="5"/>
  <c r="AJ31" i="5"/>
  <c r="S22" i="5"/>
  <c r="M136" i="5"/>
  <c r="AG145" i="5"/>
  <c r="AJ33" i="12"/>
  <c r="AD32" i="12"/>
  <c r="AE71" i="5"/>
  <c r="Z147" i="5"/>
  <c r="T28" i="1"/>
  <c r="T29" i="1" s="1"/>
  <c r="T30" i="1" s="1"/>
  <c r="I166" i="5"/>
  <c r="K166" i="5"/>
  <c r="Y177" i="5"/>
  <c r="Y182" i="5" s="1"/>
  <c r="Y183" i="5" s="1"/>
  <c r="Y184" i="5" s="1"/>
  <c r="T25" i="17"/>
  <c r="X50" i="11"/>
  <c r="I156" i="5"/>
  <c r="G166" i="5"/>
  <c r="T19" i="17"/>
  <c r="U44" i="11"/>
  <c r="T14" i="17"/>
  <c r="U39" i="11"/>
  <c r="AC106" i="1"/>
  <c r="M96" i="1"/>
  <c r="L211" i="5"/>
  <c r="AG32" i="12"/>
  <c r="AG33" i="12"/>
  <c r="S80" i="1"/>
  <c r="S81" i="1"/>
  <c r="K22" i="1"/>
  <c r="AB32" i="1"/>
  <c r="AB180" i="1"/>
  <c r="K170" i="1"/>
  <c r="Q60" i="5"/>
  <c r="AI69" i="5"/>
  <c r="Z69" i="5"/>
  <c r="Z70" i="5" s="1"/>
  <c r="Z71" i="5"/>
  <c r="T30" i="17"/>
  <c r="X55" i="11"/>
  <c r="V34" i="17"/>
  <c r="V59" i="11"/>
  <c r="R24" i="17"/>
  <c r="R9" i="17"/>
  <c r="T34" i="11"/>
  <c r="S7" i="1"/>
  <c r="V79" i="17"/>
  <c r="Y97" i="11"/>
  <c r="W176" i="8"/>
  <c r="D176" i="8" s="1"/>
  <c r="W177" i="8"/>
  <c r="W56" i="8"/>
  <c r="D56" i="8" s="1"/>
  <c r="W57" i="8"/>
  <c r="Y176" i="8"/>
  <c r="H176" i="8" s="1"/>
  <c r="Y177" i="8"/>
  <c r="V53" i="17"/>
  <c r="V72" i="11"/>
  <c r="AF107" i="5"/>
  <c r="K98" i="5"/>
  <c r="L59" i="1"/>
  <c r="L58" i="1"/>
  <c r="L173" i="5"/>
  <c r="W163" i="5"/>
  <c r="Y179" i="5"/>
  <c r="I158" i="5"/>
  <c r="AG217" i="5"/>
  <c r="AG218" i="5" s="1"/>
  <c r="AG219" i="5"/>
  <c r="AC29" i="12"/>
  <c r="AC27" i="12"/>
  <c r="AC28" i="12" s="1"/>
  <c r="W218" i="8"/>
  <c r="W205" i="8"/>
  <c r="R59" i="17"/>
  <c r="T78" i="11"/>
  <c r="AC58" i="8"/>
  <c r="AC45" i="8"/>
  <c r="I212" i="5"/>
  <c r="AE221" i="5"/>
  <c r="H206" i="1"/>
  <c r="U64" i="2"/>
  <c r="X27" i="5"/>
  <c r="O6" i="12"/>
  <c r="Z27" i="12"/>
  <c r="T77" i="17"/>
  <c r="R95" i="11"/>
  <c r="AC141" i="1"/>
  <c r="AC139" i="1"/>
  <c r="AC140" i="1" s="1"/>
  <c r="AG69" i="5"/>
  <c r="M60" i="5"/>
  <c r="W124" i="5"/>
  <c r="Y139" i="5"/>
  <c r="Y144" i="5" s="1"/>
  <c r="I128" i="5"/>
  <c r="G128" i="5"/>
  <c r="E128" i="5"/>
  <c r="K128" i="5"/>
  <c r="I118" i="5"/>
  <c r="AH145" i="5"/>
  <c r="O136" i="5"/>
  <c r="AC18" i="8"/>
  <c r="AC5" i="8"/>
  <c r="T68" i="2"/>
  <c r="X178" i="5"/>
  <c r="W9" i="5"/>
  <c r="E4" i="5"/>
  <c r="E65" i="11" s="1"/>
  <c r="S46" i="17" s="1"/>
  <c r="X25" i="5"/>
  <c r="X30" i="5" s="1"/>
  <c r="T66" i="2"/>
  <c r="X102" i="5"/>
  <c r="AC178" i="8"/>
  <c r="AC165" i="8"/>
  <c r="AA65" i="1"/>
  <c r="AA66" i="1" s="1"/>
  <c r="AA67" i="1"/>
  <c r="H79" i="1"/>
  <c r="AA97" i="1"/>
  <c r="Y139" i="1"/>
  <c r="Y140" i="1" s="1"/>
  <c r="Y141" i="1"/>
  <c r="I59" i="1"/>
  <c r="AA69" i="1"/>
  <c r="O133" i="1"/>
  <c r="AD143" i="1"/>
  <c r="T46" i="17"/>
  <c r="R65" i="11"/>
  <c r="AF185" i="5"/>
  <c r="AF184" i="5"/>
  <c r="U28" i="1"/>
  <c r="U29" i="1" s="1"/>
  <c r="U30" i="1" s="1"/>
  <c r="Y223" i="5"/>
  <c r="AC218" i="8"/>
  <c r="AC205" i="8"/>
  <c r="V52" i="17"/>
  <c r="S71" i="11"/>
  <c r="W126" i="5"/>
  <c r="AB82" i="11" s="1"/>
  <c r="AC145" i="5"/>
  <c r="E136" i="5"/>
  <c r="G41" i="1"/>
  <c r="F38" i="11"/>
  <c r="U59" i="1"/>
  <c r="U64" i="1" s="1"/>
  <c r="H60" i="11"/>
  <c r="V209" i="1"/>
  <c r="H153" i="1"/>
  <c r="AA171" i="1"/>
  <c r="S42" i="1"/>
  <c r="D38" i="11"/>
  <c r="E41" i="1"/>
  <c r="T59" i="1"/>
  <c r="T64" i="1" s="1"/>
  <c r="S204" i="5"/>
  <c r="Q204" i="5"/>
  <c r="O204" i="5"/>
  <c r="M204" i="5"/>
  <c r="O194" i="5"/>
  <c r="Z215" i="5"/>
  <c r="Z220" i="5" s="1"/>
  <c r="Y109" i="5"/>
  <c r="Y107" i="5"/>
  <c r="Y108" i="5" s="1"/>
  <c r="AF27" i="5"/>
  <c r="AF28" i="5" s="1"/>
  <c r="AF29" i="5"/>
  <c r="X18" i="8"/>
  <c r="X5" i="8"/>
  <c r="M133" i="1"/>
  <c r="AC143" i="1"/>
  <c r="AI221" i="5"/>
  <c r="Q212" i="5"/>
  <c r="R65" i="17"/>
  <c r="T84" i="11"/>
  <c r="F48" i="11"/>
  <c r="G115" i="1"/>
  <c r="G48" i="11" s="1"/>
  <c r="U23" i="17" s="1"/>
  <c r="U133" i="1"/>
  <c r="U138" i="1" s="1"/>
  <c r="O6" i="5"/>
  <c r="Z27" i="5"/>
  <c r="AB138" i="8"/>
  <c r="AB125" i="8"/>
  <c r="N58" i="1"/>
  <c r="W199" i="5"/>
  <c r="E194" i="5"/>
  <c r="I95" i="11" s="1"/>
  <c r="W77" i="17" s="1"/>
  <c r="X215" i="5"/>
  <c r="X220" i="5" s="1"/>
  <c r="W123" i="5"/>
  <c r="E118" i="5"/>
  <c r="E83" i="11" s="1"/>
  <c r="S64" i="17" s="1"/>
  <c r="X139" i="5"/>
  <c r="X144" i="5" s="1"/>
  <c r="N94" i="1"/>
  <c r="N96" i="1" s="1"/>
  <c r="O90" i="1"/>
  <c r="AD98" i="1"/>
  <c r="AB218" i="8"/>
  <c r="AB205" i="8"/>
  <c r="H50" i="11"/>
  <c r="V135" i="1"/>
  <c r="Z104" i="1"/>
  <c r="Z102" i="1"/>
  <c r="Z103" i="1" s="1"/>
  <c r="U67" i="2"/>
  <c r="X141" i="5"/>
  <c r="W200" i="5"/>
  <c r="Y31" i="5"/>
  <c r="Y32" i="5" s="1"/>
  <c r="Y33" i="5"/>
  <c r="R54" i="17"/>
  <c r="W73" i="11"/>
  <c r="Y64" i="2"/>
  <c r="T71" i="2" s="1"/>
  <c r="X26" i="12"/>
  <c r="R71" i="17"/>
  <c r="Q89" i="11"/>
  <c r="V73" i="17"/>
  <c r="Y91" i="11"/>
  <c r="T72" i="17"/>
  <c r="U90" i="11"/>
  <c r="X179" i="5"/>
  <c r="U68" i="2"/>
  <c r="AE181" i="5"/>
  <c r="AE179" i="5"/>
  <c r="AE180" i="5" s="1"/>
  <c r="O212" i="5"/>
  <c r="AH221" i="5"/>
  <c r="AA217" i="1"/>
  <c r="I207" i="1"/>
  <c r="O162" i="1"/>
  <c r="AD170" i="1"/>
  <c r="AD175" i="1" s="1"/>
  <c r="X138" i="8"/>
  <c r="X125" i="8"/>
  <c r="X25" i="12"/>
  <c r="X30" i="12" s="1"/>
  <c r="W9" i="12"/>
  <c r="E4" i="12"/>
  <c r="Y98" i="8"/>
  <c r="Y85" i="8"/>
  <c r="D40" i="11"/>
  <c r="T61" i="1"/>
  <c r="AF31" i="5"/>
  <c r="K22" i="5"/>
  <c r="T59" i="17"/>
  <c r="U78" i="11"/>
  <c r="R58" i="17"/>
  <c r="Q77" i="11"/>
  <c r="AA178" i="8"/>
  <c r="AA165" i="8"/>
  <c r="V64" i="17"/>
  <c r="S83" i="11"/>
  <c r="AB67" i="1"/>
  <c r="AB65" i="1"/>
  <c r="AB66" i="1" s="1"/>
  <c r="L22" i="5"/>
  <c r="W12" i="5" s="1"/>
  <c r="AB64" i="11" s="1"/>
  <c r="Z12" i="11" s="1"/>
  <c r="L21" i="5"/>
  <c r="Y18" i="8"/>
  <c r="Y5" i="8"/>
  <c r="V77" i="17"/>
  <c r="S95" i="11"/>
  <c r="AF219" i="5"/>
  <c r="AF217" i="5"/>
  <c r="AF218" i="5" s="1"/>
  <c r="Z107" i="5"/>
  <c r="Z108" i="5" s="1"/>
  <c r="Z109" i="5"/>
  <c r="F205" i="1"/>
  <c r="F207" i="1" s="1"/>
  <c r="F191" i="1"/>
  <c r="Z209" i="1"/>
  <c r="G201" i="1"/>
  <c r="S192" i="1"/>
  <c r="AC138" i="8"/>
  <c r="AC125" i="8"/>
  <c r="O174" i="5"/>
  <c r="AH183" i="5"/>
  <c r="X58" i="8"/>
  <c r="X45" i="8"/>
  <c r="I41" i="1"/>
  <c r="H38" i="11"/>
  <c r="V59" i="1"/>
  <c r="V64" i="1" s="1"/>
  <c r="O88" i="1"/>
  <c r="AD96" i="1"/>
  <c r="AD101" i="1" s="1"/>
  <c r="S136" i="5"/>
  <c r="AJ145" i="5"/>
  <c r="W164" i="5"/>
  <c r="AB88" i="11" s="1"/>
  <c r="E174" i="5"/>
  <c r="AC183" i="5"/>
  <c r="T48" i="17"/>
  <c r="X67" i="11"/>
  <c r="V47" i="17"/>
  <c r="V66" i="11"/>
  <c r="T8" i="17"/>
  <c r="R33" i="11"/>
  <c r="AG27" i="5"/>
  <c r="AG28" i="5" s="1"/>
  <c r="AG29" i="5"/>
  <c r="AB18" i="8"/>
  <c r="AB5" i="8"/>
  <c r="H168" i="1"/>
  <c r="H170" i="1" s="1"/>
  <c r="H154" i="1"/>
  <c r="AA172" i="1"/>
  <c r="I164" i="1"/>
  <c r="S155" i="1"/>
  <c r="AF69" i="5"/>
  <c r="K60" i="5"/>
  <c r="AF145" i="5"/>
  <c r="K136" i="5"/>
  <c r="N20" i="1"/>
  <c r="N22" i="1" s="1"/>
  <c r="O16" i="1"/>
  <c r="AD24" i="1"/>
  <c r="G22" i="5"/>
  <c r="AD31" i="5"/>
  <c r="T60" i="17"/>
  <c r="X79" i="11"/>
  <c r="T58" i="17"/>
  <c r="R77" i="11"/>
  <c r="AC70" i="5"/>
  <c r="AC71" i="5"/>
  <c r="R66" i="17"/>
  <c r="W85" i="11"/>
  <c r="AF221" i="5"/>
  <c r="K212" i="5"/>
  <c r="R33" i="17"/>
  <c r="Q58" i="11"/>
  <c r="AI183" i="5"/>
  <c r="Q174" i="5"/>
  <c r="D22" i="12"/>
  <c r="D21" i="12"/>
  <c r="D48" i="11"/>
  <c r="E115" i="1"/>
  <c r="E48" i="11" s="1"/>
  <c r="S23" i="17" s="1"/>
  <c r="S116" i="1"/>
  <c r="T133" i="1"/>
  <c r="T138" i="1" s="1"/>
  <c r="AJ183" i="5"/>
  <c r="S174" i="5"/>
  <c r="X98" i="8"/>
  <c r="X85" i="8"/>
  <c r="D60" i="11"/>
  <c r="T209" i="1"/>
  <c r="G78" i="1"/>
  <c r="G43" i="11" s="1"/>
  <c r="U18" i="17" s="1"/>
  <c r="F43" i="11"/>
  <c r="U96" i="1"/>
  <c r="U101" i="1" s="1"/>
  <c r="R47" i="17"/>
  <c r="T66" i="11"/>
  <c r="T47" i="17"/>
  <c r="U66" i="11"/>
  <c r="AH69" i="5"/>
  <c r="O60" i="5"/>
  <c r="R52" i="17"/>
  <c r="Q71" i="11"/>
  <c r="V72" i="17"/>
  <c r="V90" i="11"/>
  <c r="S14" i="5"/>
  <c r="Q14" i="5"/>
  <c r="O4" i="5"/>
  <c r="O14" i="5"/>
  <c r="M14" i="5"/>
  <c r="Z25" i="5"/>
  <c r="Z30" i="5" s="1"/>
  <c r="O158" i="5"/>
  <c r="Z179" i="5"/>
  <c r="AA143" i="1"/>
  <c r="I133" i="1"/>
  <c r="Y69" i="1"/>
  <c r="E59" i="1"/>
  <c r="I14" i="1"/>
  <c r="AA22" i="1"/>
  <c r="AA27" i="1" s="1"/>
  <c r="S6" i="1"/>
  <c r="R60" i="17"/>
  <c r="W79" i="11"/>
  <c r="R64" i="17"/>
  <c r="Q83" i="11"/>
  <c r="T65" i="17"/>
  <c r="U84" i="11"/>
  <c r="AA139" i="1"/>
  <c r="AA140" i="1" s="1"/>
  <c r="AA141" i="1"/>
  <c r="AA215" i="1"/>
  <c r="AA213" i="1"/>
  <c r="AA214" i="1" s="1"/>
  <c r="AA18" i="8"/>
  <c r="T79" i="17"/>
  <c r="X97" i="11"/>
  <c r="F190" i="1"/>
  <c r="Z208" i="1"/>
  <c r="AB178" i="8"/>
  <c r="AB165" i="8"/>
  <c r="AE183" i="5"/>
  <c r="I174" i="5"/>
  <c r="Y27" i="12"/>
  <c r="W11" i="12"/>
  <c r="I6" i="12"/>
  <c r="AD221" i="5"/>
  <c r="G212" i="5"/>
  <c r="G170" i="1"/>
  <c r="Z180" i="1"/>
  <c r="I88" i="1"/>
  <c r="AA96" i="1"/>
  <c r="AA101" i="1" s="1"/>
  <c r="I98" i="5"/>
  <c r="AE107" i="5"/>
  <c r="H39" i="11"/>
  <c r="V60" i="1"/>
  <c r="J207" i="1"/>
  <c r="J206" i="1"/>
  <c r="AD145" i="5"/>
  <c r="G136" i="5"/>
  <c r="W125" i="5"/>
  <c r="I120" i="5"/>
  <c r="Y141" i="5"/>
  <c r="W87" i="5"/>
  <c r="Y103" i="5"/>
  <c r="I82" i="5"/>
  <c r="AF31" i="12"/>
  <c r="K22" i="12"/>
  <c r="T52" i="17"/>
  <c r="R71" i="11"/>
  <c r="V54" i="17"/>
  <c r="Y73" i="11"/>
  <c r="V71" i="17"/>
  <c r="S89" i="11"/>
  <c r="T73" i="17"/>
  <c r="X91" i="11"/>
  <c r="O59" i="1"/>
  <c r="AD69" i="1"/>
  <c r="AD69" i="5"/>
  <c r="G60" i="5"/>
  <c r="AI107" i="5"/>
  <c r="Q98" i="5"/>
  <c r="W201" i="5"/>
  <c r="I196" i="5"/>
  <c r="Y217" i="5"/>
  <c r="S14" i="12"/>
  <c r="Q14" i="12"/>
  <c r="O4" i="12"/>
  <c r="O14" i="12"/>
  <c r="Z25" i="12"/>
  <c r="Z30" i="12" s="1"/>
  <c r="M14" i="12"/>
  <c r="L22" i="1"/>
  <c r="L21" i="1"/>
  <c r="M174" i="5"/>
  <c r="AG183" i="5"/>
  <c r="Y218" i="8"/>
  <c r="Y205" i="8"/>
  <c r="W96" i="8"/>
  <c r="D96" i="8" s="1"/>
  <c r="W97" i="8"/>
  <c r="AD22" i="1"/>
  <c r="AD27" i="1" s="1"/>
  <c r="O14" i="1"/>
  <c r="W50" i="5"/>
  <c r="AB70" i="11" s="1"/>
  <c r="V65" i="17"/>
  <c r="V84" i="11"/>
  <c r="T64" i="17"/>
  <c r="R83" i="11"/>
  <c r="T66" i="17"/>
  <c r="X85" i="11"/>
  <c r="H48" i="11"/>
  <c r="I115" i="1"/>
  <c r="I48" i="11" s="1"/>
  <c r="W23" i="17" s="1"/>
  <c r="V133" i="1"/>
  <c r="V138" i="1" s="1"/>
  <c r="G133" i="1"/>
  <c r="Z143" i="1"/>
  <c r="T78" i="17"/>
  <c r="U96" i="11"/>
  <c r="R78" i="17"/>
  <c r="T96" i="11"/>
  <c r="F22" i="1"/>
  <c r="F21" i="1"/>
  <c r="D50" i="11"/>
  <c r="T135" i="1"/>
  <c r="L205" i="1"/>
  <c r="L207" i="1" s="1"/>
  <c r="AC209" i="1"/>
  <c r="M201" i="1"/>
  <c r="AD183" i="5"/>
  <c r="G174" i="5"/>
  <c r="AG181" i="5"/>
  <c r="AG179" i="5"/>
  <c r="AG180" i="5" s="1"/>
  <c r="H94" i="1"/>
  <c r="H96" i="1" s="1"/>
  <c r="H80" i="1"/>
  <c r="I90" i="1"/>
  <c r="AA98" i="1"/>
  <c r="T69" i="2"/>
  <c r="X216" i="5"/>
  <c r="V46" i="17"/>
  <c r="S65" i="11"/>
  <c r="V48" i="17"/>
  <c r="Y67" i="11"/>
  <c r="X103" i="5"/>
  <c r="U66" i="2"/>
  <c r="X178" i="8"/>
  <c r="X165" i="8"/>
  <c r="T54" i="17"/>
  <c r="X73" i="11"/>
  <c r="R72" i="17"/>
  <c r="T90" i="11"/>
  <c r="T71" i="17"/>
  <c r="R89" i="11"/>
  <c r="D212" i="5"/>
  <c r="D211" i="5"/>
  <c r="AG29" i="12"/>
  <c r="AG27" i="12"/>
  <c r="AG28" i="12" s="1"/>
  <c r="AA98" i="8"/>
  <c r="AA85" i="8"/>
  <c r="AB106" i="1"/>
  <c r="K96" i="1"/>
  <c r="I162" i="1"/>
  <c r="AA170" i="1"/>
  <c r="AA175" i="1" s="1"/>
  <c r="S154" i="1"/>
  <c r="Z217" i="5"/>
  <c r="O196" i="5"/>
  <c r="AE147" i="5"/>
  <c r="AE146" i="5"/>
  <c r="AA56" i="8"/>
  <c r="J56" i="8" s="1"/>
  <c r="AA57" i="8"/>
  <c r="AJ107" i="5"/>
  <c r="S98" i="5"/>
  <c r="H5" i="1"/>
  <c r="J3" i="1" s="1"/>
  <c r="AA23" i="1"/>
  <c r="V59" i="17"/>
  <c r="V78" i="11"/>
  <c r="AA138" i="8"/>
  <c r="S212" i="5"/>
  <c r="AJ221" i="5"/>
  <c r="H58" i="11"/>
  <c r="I189" i="1"/>
  <c r="I58" i="11" s="1"/>
  <c r="W33" i="17" s="1"/>
  <c r="V207" i="1"/>
  <c r="V212" i="1" s="1"/>
  <c r="AE31" i="12"/>
  <c r="I22" i="12"/>
  <c r="AA218" i="8"/>
  <c r="AA205" i="8"/>
  <c r="V78" i="17"/>
  <c r="V96" i="11"/>
  <c r="F35" i="11"/>
  <c r="U24" i="1"/>
  <c r="E133" i="1"/>
  <c r="Y143" i="1"/>
  <c r="AC207" i="1"/>
  <c r="AC212" i="1" s="1"/>
  <c r="M199" i="1"/>
  <c r="R10" i="17"/>
  <c r="W35" i="11"/>
  <c r="F40" i="11"/>
  <c r="U61" i="1"/>
  <c r="O166" i="5"/>
  <c r="Z177" i="5"/>
  <c r="Z182" i="5" s="1"/>
  <c r="M166" i="5"/>
  <c r="O156" i="5"/>
  <c r="S166" i="5"/>
  <c r="Q166" i="5"/>
  <c r="Z64" i="2"/>
  <c r="U71" i="2" s="1"/>
  <c r="X27" i="12"/>
  <c r="AB58" i="8"/>
  <c r="AB45" i="8"/>
  <c r="W18" i="8"/>
  <c r="F34" i="11"/>
  <c r="U23" i="1"/>
  <c r="D45" i="11"/>
  <c r="T98" i="1"/>
  <c r="E22" i="5"/>
  <c r="AC31" i="5"/>
  <c r="Y58" i="8"/>
  <c r="Y45" i="8"/>
  <c r="D67" i="11"/>
  <c r="F98" i="5"/>
  <c r="F97" i="5"/>
  <c r="R53" i="17"/>
  <c r="T72" i="11"/>
  <c r="W138" i="8"/>
  <c r="W125" i="8"/>
  <c r="Y138" i="8"/>
  <c r="R73" i="17"/>
  <c r="W91" i="11"/>
  <c r="Z67" i="1"/>
  <c r="Z65" i="1"/>
  <c r="Z66" i="1" s="1"/>
  <c r="Q22" i="5"/>
  <c r="AI31" i="5"/>
  <c r="U69" i="2"/>
  <c r="X217" i="5"/>
  <c r="N168" i="1"/>
  <c r="N170" i="1" s="1"/>
  <c r="S156" i="1" s="1"/>
  <c r="O164" i="1"/>
  <c r="AD172" i="1"/>
  <c r="E170" i="1"/>
  <c r="Y180" i="1"/>
  <c r="AG221" i="5"/>
  <c r="M212" i="5"/>
  <c r="Y71" i="5"/>
  <c r="Y69" i="5"/>
  <c r="Y70" i="5" s="1"/>
  <c r="G14" i="12"/>
  <c r="Y25" i="12"/>
  <c r="Y30" i="12" s="1"/>
  <c r="I4" i="12"/>
  <c r="W10" i="12"/>
  <c r="I14" i="12"/>
  <c r="K14" i="12"/>
  <c r="N207" i="1"/>
  <c r="N206" i="1"/>
  <c r="AC30" i="1"/>
  <c r="AC28" i="1"/>
  <c r="AC29" i="1" s="1"/>
  <c r="H6" i="1"/>
  <c r="H20" i="1"/>
  <c r="H22" i="1" s="1"/>
  <c r="AA24" i="1"/>
  <c r="I16" i="1"/>
  <c r="V60" i="17"/>
  <c r="Y79" i="11"/>
  <c r="AB98" i="8"/>
  <c r="AB85" i="8"/>
  <c r="V66" i="17"/>
  <c r="Y85" i="11"/>
  <c r="Z141" i="1"/>
  <c r="Z139" i="1"/>
  <c r="Z140" i="1" s="1"/>
  <c r="E156" i="5"/>
  <c r="G89" i="11" s="1"/>
  <c r="U71" i="17" s="1"/>
  <c r="W161" i="5"/>
  <c r="X177" i="5"/>
  <c r="X182" i="5" s="1"/>
  <c r="N22" i="12"/>
  <c r="N21" i="12"/>
  <c r="R77" i="17"/>
  <c r="Q95" i="11"/>
  <c r="R79" i="17"/>
  <c r="W97" i="11"/>
  <c r="Z207" i="1"/>
  <c r="Z212" i="1" s="1"/>
  <c r="G199" i="1"/>
  <c r="S191" i="1"/>
  <c r="AC141" i="5"/>
  <c r="AC142" i="5" s="1"/>
  <c r="AC143" i="5"/>
  <c r="AC98" i="8"/>
  <c r="AC85" i="8"/>
  <c r="D132" i="1"/>
  <c r="F59" i="1"/>
  <c r="F58" i="1"/>
  <c r="T39" i="11"/>
  <c r="R14" i="17"/>
  <c r="X140" i="5"/>
  <c r="T67" i="2"/>
  <c r="D96" i="1"/>
  <c r="D95" i="1"/>
  <c r="H40" i="11"/>
  <c r="V61" i="1"/>
  <c r="J133" i="1"/>
  <c r="J132" i="1"/>
  <c r="D65" i="11"/>
  <c r="W10" i="5"/>
  <c r="AD139" i="1" l="1"/>
  <c r="AD140" i="1" s="1"/>
  <c r="AD141" i="1"/>
  <c r="AH33" i="5"/>
  <c r="K59" i="1"/>
  <c r="X217" i="8"/>
  <c r="AC76" i="11"/>
  <c r="T53" i="17"/>
  <c r="Y217" i="1"/>
  <c r="Y219" i="1" s="1"/>
  <c r="X109" i="5"/>
  <c r="V49" i="11"/>
  <c r="T215" i="1"/>
  <c r="AJ71" i="5"/>
  <c r="AJ70" i="5"/>
  <c r="S77" i="11"/>
  <c r="Y185" i="5"/>
  <c r="AG108" i="5"/>
  <c r="R18" i="17"/>
  <c r="Q43" i="11"/>
  <c r="Y34" i="1"/>
  <c r="Z108" i="1"/>
  <c r="Z107" i="1"/>
  <c r="T176" i="1"/>
  <c r="T177" i="1" s="1"/>
  <c r="T178" i="1" s="1"/>
  <c r="AH108" i="5"/>
  <c r="AH109" i="5"/>
  <c r="AE32" i="5"/>
  <c r="AE33" i="5"/>
  <c r="N95" i="1"/>
  <c r="T44" i="11"/>
  <c r="AC182" i="1"/>
  <c r="AC181" i="1"/>
  <c r="AC109" i="5"/>
  <c r="AC108" i="5"/>
  <c r="AJ33" i="5"/>
  <c r="AJ32" i="5"/>
  <c r="S45" i="1"/>
  <c r="S47" i="1" s="1"/>
  <c r="AI147" i="5"/>
  <c r="AI146" i="5"/>
  <c r="AG147" i="5"/>
  <c r="AG146" i="5"/>
  <c r="R29" i="17"/>
  <c r="T54" i="11"/>
  <c r="AC107" i="1"/>
  <c r="AC108" i="1"/>
  <c r="H169" i="1"/>
  <c r="H95" i="1"/>
  <c r="S193" i="1"/>
  <c r="AI70" i="5"/>
  <c r="AI71" i="5"/>
  <c r="AB181" i="1"/>
  <c r="AB182" i="1"/>
  <c r="AB33" i="1"/>
  <c r="AB34" i="1"/>
  <c r="AI32" i="5"/>
  <c r="AI33" i="5"/>
  <c r="T10" i="17"/>
  <c r="X35" i="11"/>
  <c r="H34" i="11"/>
  <c r="V23" i="1"/>
  <c r="AA96" i="8"/>
  <c r="J96" i="8" s="1"/>
  <c r="AA97" i="8"/>
  <c r="AA106" i="1"/>
  <c r="I96" i="1"/>
  <c r="Z145" i="1"/>
  <c r="Z144" i="1"/>
  <c r="Z31" i="12"/>
  <c r="Z32" i="12" s="1"/>
  <c r="Z33" i="12"/>
  <c r="H43" i="11"/>
  <c r="I78" i="1"/>
  <c r="I43" i="11" s="1"/>
  <c r="W18" i="17" s="1"/>
  <c r="V96" i="1"/>
  <c r="V101" i="1" s="1"/>
  <c r="AA16" i="8"/>
  <c r="J16" i="8" s="1"/>
  <c r="AA17" i="8"/>
  <c r="Y70" i="1"/>
  <c r="Y71" i="1"/>
  <c r="U102" i="1"/>
  <c r="U103" i="1" s="1"/>
  <c r="U104" i="1" s="1"/>
  <c r="AJ184" i="5"/>
  <c r="AJ185" i="5"/>
  <c r="AF222" i="5"/>
  <c r="AF223" i="5"/>
  <c r="AB16" i="8"/>
  <c r="L16" i="8" s="1"/>
  <c r="AB17" i="8"/>
  <c r="AG31" i="5"/>
  <c r="M22" i="5"/>
  <c r="L206" i="1"/>
  <c r="AB136" i="8"/>
  <c r="L136" i="8" s="1"/>
  <c r="AB137" i="8"/>
  <c r="AC16" i="8"/>
  <c r="N16" i="8" s="1"/>
  <c r="AC17" i="8"/>
  <c r="Y147" i="5"/>
  <c r="Y145" i="5"/>
  <c r="Y146" i="5" s="1"/>
  <c r="M59" i="1"/>
  <c r="AC69" i="1"/>
  <c r="D58" i="8"/>
  <c r="D57" i="8"/>
  <c r="D59" i="8"/>
  <c r="D62" i="8"/>
  <c r="H35" i="11"/>
  <c r="V24" i="1"/>
  <c r="Y182" i="1"/>
  <c r="Y181" i="1"/>
  <c r="W136" i="8"/>
  <c r="D136" i="8" s="1"/>
  <c r="W137" i="8"/>
  <c r="AH31" i="12"/>
  <c r="O22" i="12"/>
  <c r="Y33" i="12"/>
  <c r="Y31" i="12"/>
  <c r="Y32" i="12" s="1"/>
  <c r="Y56" i="8"/>
  <c r="H56" i="8" s="1"/>
  <c r="Y57" i="8"/>
  <c r="V33" i="17"/>
  <c r="S58" i="11"/>
  <c r="R25" i="17"/>
  <c r="W50" i="11"/>
  <c r="Y216" i="8"/>
  <c r="H216" i="8" s="1"/>
  <c r="Y217" i="8"/>
  <c r="AI108" i="5"/>
  <c r="AI109" i="5"/>
  <c r="AB217" i="1"/>
  <c r="K207" i="1"/>
  <c r="Z182" i="1"/>
  <c r="Z181" i="1"/>
  <c r="AE184" i="5"/>
  <c r="AE185" i="5"/>
  <c r="T18" i="17"/>
  <c r="R43" i="11"/>
  <c r="T139" i="1"/>
  <c r="T140" i="1" s="1"/>
  <c r="T141" i="1" s="1"/>
  <c r="AD32" i="5"/>
  <c r="AD33" i="5"/>
  <c r="AF70" i="5"/>
  <c r="AF71" i="5"/>
  <c r="V65" i="1"/>
  <c r="V66" i="1" s="1"/>
  <c r="V67" i="1" s="1"/>
  <c r="AC136" i="8"/>
  <c r="N136" i="8" s="1"/>
  <c r="AC137" i="8"/>
  <c r="Y96" i="8"/>
  <c r="H96" i="8" s="1"/>
  <c r="Y97" i="8"/>
  <c r="X221" i="5"/>
  <c r="X222" i="5" s="1"/>
  <c r="X223" i="5"/>
  <c r="V35" i="17"/>
  <c r="Y60" i="11"/>
  <c r="AC56" i="8"/>
  <c r="N56" i="8" s="1"/>
  <c r="AC57" i="8"/>
  <c r="W52" i="5"/>
  <c r="AA32" i="1"/>
  <c r="I22" i="1"/>
  <c r="Z213" i="1"/>
  <c r="Z214" i="1" s="1"/>
  <c r="Z215" i="1"/>
  <c r="X183" i="5"/>
  <c r="X184" i="5" s="1"/>
  <c r="X185" i="5"/>
  <c r="AB96" i="8"/>
  <c r="L96" i="8" s="1"/>
  <c r="AB97" i="8"/>
  <c r="AC33" i="5"/>
  <c r="AC32" i="5"/>
  <c r="T9" i="17"/>
  <c r="U34" i="11"/>
  <c r="AJ222" i="5"/>
  <c r="AJ223" i="5"/>
  <c r="AJ109" i="5"/>
  <c r="AJ108" i="5"/>
  <c r="AA176" i="1"/>
  <c r="AA177" i="1" s="1"/>
  <c r="AA178" i="1"/>
  <c r="V139" i="1"/>
  <c r="V140" i="1" s="1"/>
  <c r="V141" i="1" s="1"/>
  <c r="AG185" i="5"/>
  <c r="AG184" i="5"/>
  <c r="AH71" i="5"/>
  <c r="AH70" i="5"/>
  <c r="AA47" i="11"/>
  <c r="M48" i="11" s="1"/>
  <c r="E22" i="12"/>
  <c r="W12" i="12"/>
  <c r="W14" i="12" s="1"/>
  <c r="Q4" i="12" s="1"/>
  <c r="AC31" i="12"/>
  <c r="AC185" i="5"/>
  <c r="AC184" i="5"/>
  <c r="V13" i="17"/>
  <c r="S38" i="11"/>
  <c r="AA218" i="1"/>
  <c r="AA219" i="1"/>
  <c r="O96" i="1"/>
  <c r="AD106" i="1"/>
  <c r="T65" i="1"/>
  <c r="T66" i="1" s="1"/>
  <c r="T67" i="1" s="1"/>
  <c r="U65" i="1"/>
  <c r="U66" i="1" s="1"/>
  <c r="U67" i="1"/>
  <c r="X31" i="5"/>
  <c r="X32" i="5" s="1"/>
  <c r="X33" i="5"/>
  <c r="AH146" i="5"/>
  <c r="AH147" i="5"/>
  <c r="F206" i="1"/>
  <c r="AF109" i="5"/>
  <c r="AF108" i="5"/>
  <c r="G59" i="1"/>
  <c r="Z69" i="1"/>
  <c r="AA88" i="11"/>
  <c r="M89" i="11" s="1"/>
  <c r="W166" i="5"/>
  <c r="W16" i="8"/>
  <c r="W17" i="8"/>
  <c r="AC215" i="1"/>
  <c r="AC213" i="1"/>
  <c r="AC214" i="1" s="1"/>
  <c r="G22" i="1"/>
  <c r="Z32" i="1"/>
  <c r="S8" i="1"/>
  <c r="AD71" i="5"/>
  <c r="AD70" i="5"/>
  <c r="V14" i="17"/>
  <c r="V39" i="11"/>
  <c r="AB176" i="8"/>
  <c r="L176" i="8" s="1"/>
  <c r="AB177" i="8"/>
  <c r="AA144" i="1"/>
  <c r="AA145" i="1"/>
  <c r="I38" i="11"/>
  <c r="W13" i="17" s="1"/>
  <c r="I33" i="11"/>
  <c r="W8" i="17" s="1"/>
  <c r="AH223" i="5"/>
  <c r="AH222" i="5"/>
  <c r="AA94" i="11"/>
  <c r="M95" i="11" s="1"/>
  <c r="U139" i="1"/>
  <c r="U140" i="1" s="1"/>
  <c r="U141" i="1" s="1"/>
  <c r="AI223" i="5"/>
  <c r="AI222" i="5"/>
  <c r="E38" i="11"/>
  <c r="S13" i="17" s="1"/>
  <c r="E33" i="11"/>
  <c r="S8" i="17" s="1"/>
  <c r="T13" i="17"/>
  <c r="R38" i="11"/>
  <c r="AC216" i="8"/>
  <c r="N216" i="8" s="1"/>
  <c r="AC217" i="8"/>
  <c r="H44" i="11"/>
  <c r="J77" i="1"/>
  <c r="V97" i="1"/>
  <c r="D177" i="8"/>
  <c r="D178" i="8"/>
  <c r="D179" i="8"/>
  <c r="D182" i="8"/>
  <c r="AB143" i="1"/>
  <c r="K133" i="1"/>
  <c r="V15" i="17"/>
  <c r="Y40" i="11"/>
  <c r="S82" i="1"/>
  <c r="E96" i="1"/>
  <c r="Y106" i="1"/>
  <c r="O207" i="1"/>
  <c r="AD217" i="1"/>
  <c r="O12" i="11"/>
  <c r="Z183" i="5"/>
  <c r="Z184" i="5" s="1"/>
  <c r="Z185" i="5"/>
  <c r="Y145" i="1"/>
  <c r="Y144" i="1"/>
  <c r="AA216" i="8"/>
  <c r="J216" i="8" s="1"/>
  <c r="AA217" i="8"/>
  <c r="AA136" i="8"/>
  <c r="J136" i="8" s="1"/>
  <c r="AA137" i="8"/>
  <c r="J58" i="8"/>
  <c r="J57" i="8"/>
  <c r="J62" i="8"/>
  <c r="J59" i="8"/>
  <c r="I152" i="1"/>
  <c r="I53" i="11" s="1"/>
  <c r="W28" i="17" s="1"/>
  <c r="H53" i="11"/>
  <c r="V170" i="1"/>
  <c r="V175" i="1" s="1"/>
  <c r="S153" i="1"/>
  <c r="W202" i="5"/>
  <c r="AB94" i="11" s="1"/>
  <c r="AC221" i="5"/>
  <c r="E212" i="5"/>
  <c r="X176" i="8"/>
  <c r="F176" i="8" s="1"/>
  <c r="X177" i="8"/>
  <c r="AD184" i="5"/>
  <c r="AD185" i="5"/>
  <c r="V23" i="17"/>
  <c r="S48" i="11"/>
  <c r="AD71" i="1"/>
  <c r="AD70" i="1"/>
  <c r="AE109" i="5"/>
  <c r="AE108" i="5"/>
  <c r="AD223" i="5"/>
  <c r="AD222" i="5"/>
  <c r="AA28" i="1"/>
  <c r="AA29" i="1" s="1"/>
  <c r="AA30" i="1"/>
  <c r="R35" i="17"/>
  <c r="W60" i="11"/>
  <c r="R23" i="17"/>
  <c r="Q48" i="11"/>
  <c r="AI184" i="5"/>
  <c r="AI185" i="5"/>
  <c r="AF32" i="5"/>
  <c r="AF33" i="5"/>
  <c r="X31" i="12"/>
  <c r="X32" i="12" s="1"/>
  <c r="X33" i="12"/>
  <c r="AC145" i="1"/>
  <c r="AC144" i="1"/>
  <c r="Z223" i="5"/>
  <c r="Z221" i="5"/>
  <c r="Z222" i="5" s="1"/>
  <c r="R13" i="17"/>
  <c r="Q38" i="11"/>
  <c r="G33" i="11"/>
  <c r="U8" i="17" s="1"/>
  <c r="G38" i="11"/>
  <c r="U13" i="17" s="1"/>
  <c r="AD145" i="1"/>
  <c r="AD144" i="1"/>
  <c r="AA64" i="11"/>
  <c r="W14" i="5"/>
  <c r="AG70" i="5"/>
  <c r="AG71" i="5"/>
  <c r="H21" i="1"/>
  <c r="F58" i="11"/>
  <c r="G189" i="1"/>
  <c r="G58" i="11" s="1"/>
  <c r="U33" i="17" s="1"/>
  <c r="U207" i="1"/>
  <c r="U212" i="1" s="1"/>
  <c r="S190" i="1"/>
  <c r="AC96" i="8"/>
  <c r="N96" i="8" s="1"/>
  <c r="AC97" i="8"/>
  <c r="O170" i="1"/>
  <c r="AD180" i="1"/>
  <c r="AB56" i="8"/>
  <c r="L56" i="8" s="1"/>
  <c r="AB57" i="8"/>
  <c r="AD30" i="1"/>
  <c r="AD28" i="1"/>
  <c r="AD29" i="1" s="1"/>
  <c r="F59" i="11"/>
  <c r="J188" i="1"/>
  <c r="U208" i="1"/>
  <c r="O22" i="1"/>
  <c r="AD32" i="1"/>
  <c r="H55" i="11"/>
  <c r="V172" i="1"/>
  <c r="AJ147" i="5"/>
  <c r="AJ146" i="5"/>
  <c r="X56" i="8"/>
  <c r="F56" i="8" s="1"/>
  <c r="X57" i="8"/>
  <c r="F60" i="11"/>
  <c r="U209" i="1"/>
  <c r="N21" i="1"/>
  <c r="V25" i="17"/>
  <c r="Y50" i="11"/>
  <c r="X145" i="5"/>
  <c r="X146" i="5" s="1"/>
  <c r="X147" i="5"/>
  <c r="T23" i="17"/>
  <c r="R48" i="11"/>
  <c r="AA37" i="11"/>
  <c r="M38" i="11" s="1"/>
  <c r="R46" i="17"/>
  <c r="Q65" i="11"/>
  <c r="Y136" i="8"/>
  <c r="H136" i="8" s="1"/>
  <c r="Y137" i="8"/>
  <c r="G98" i="5"/>
  <c r="AD107" i="5"/>
  <c r="W88" i="5"/>
  <c r="R20" i="17"/>
  <c r="W45" i="11"/>
  <c r="S119" i="1"/>
  <c r="S121" i="1" s="1"/>
  <c r="AE32" i="12"/>
  <c r="AE33" i="12"/>
  <c r="AB108" i="1"/>
  <c r="AB107" i="1"/>
  <c r="M22" i="1"/>
  <c r="AC32" i="1"/>
  <c r="AA104" i="1"/>
  <c r="AA102" i="1"/>
  <c r="AA103" i="1" s="1"/>
  <c r="H33" i="11"/>
  <c r="V22" i="1"/>
  <c r="V27" i="1" s="1"/>
  <c r="I4" i="1"/>
  <c r="S5" i="1"/>
  <c r="N169" i="1"/>
  <c r="X96" i="8"/>
  <c r="F96" i="8" s="1"/>
  <c r="X97" i="8"/>
  <c r="Y218" i="1"/>
  <c r="AA180" i="1"/>
  <c r="I170" i="1"/>
  <c r="AH185" i="5"/>
  <c r="AH184" i="5"/>
  <c r="G207" i="1"/>
  <c r="Z217" i="1"/>
  <c r="Y16" i="8"/>
  <c r="H16" i="8" s="1"/>
  <c r="Y17" i="8"/>
  <c r="AA176" i="8"/>
  <c r="J176" i="8" s="1"/>
  <c r="AA177" i="8"/>
  <c r="X136" i="8"/>
  <c r="F136" i="8" s="1"/>
  <c r="X137" i="8"/>
  <c r="AB71" i="1"/>
  <c r="AB70" i="1"/>
  <c r="AC146" i="5"/>
  <c r="AC147" i="5"/>
  <c r="AA70" i="1"/>
  <c r="AA71" i="1"/>
  <c r="AE222" i="5"/>
  <c r="AE223" i="5"/>
  <c r="W216" i="8"/>
  <c r="D216" i="8" s="1"/>
  <c r="W217" i="8"/>
  <c r="H178" i="8"/>
  <c r="H177" i="8"/>
  <c r="H179" i="8"/>
  <c r="H182" i="8"/>
  <c r="AG222" i="5"/>
  <c r="AG223" i="5"/>
  <c r="R48" i="17"/>
  <c r="W67" i="11"/>
  <c r="T15" i="17"/>
  <c r="X40" i="11"/>
  <c r="V213" i="1"/>
  <c r="V214" i="1" s="1"/>
  <c r="V215" i="1" s="1"/>
  <c r="H45" i="11"/>
  <c r="V98" i="1"/>
  <c r="AC217" i="1"/>
  <c r="M207" i="1"/>
  <c r="D98" i="8"/>
  <c r="D97" i="8"/>
  <c r="D99" i="8"/>
  <c r="D102" i="8"/>
  <c r="AF33" i="12"/>
  <c r="AF32" i="12"/>
  <c r="AD147" i="5"/>
  <c r="AD146" i="5"/>
  <c r="Z33" i="5"/>
  <c r="Z31" i="5"/>
  <c r="Z32" i="5" s="1"/>
  <c r="S79" i="1"/>
  <c r="AF147" i="5"/>
  <c r="AF146" i="5"/>
  <c r="AD102" i="1"/>
  <c r="AD103" i="1" s="1"/>
  <c r="AD104" i="1"/>
  <c r="R15" i="17"/>
  <c r="W40" i="11"/>
  <c r="AD178" i="1"/>
  <c r="AD176" i="1"/>
  <c r="AD177" i="1" s="1"/>
  <c r="AB216" i="8"/>
  <c r="L216" i="8" s="1"/>
  <c r="AB217" i="8"/>
  <c r="W128" i="5"/>
  <c r="AA82" i="11"/>
  <c r="M83" i="11" s="1"/>
  <c r="X16" i="8"/>
  <c r="F16" i="8" s="1"/>
  <c r="X17" i="8"/>
  <c r="H54" i="11"/>
  <c r="J151" i="1"/>
  <c r="V171" i="1"/>
  <c r="AC176" i="8"/>
  <c r="N176" i="8" s="1"/>
  <c r="AC177" i="8"/>
  <c r="F217" i="8"/>
  <c r="F218" i="8"/>
  <c r="F222" i="8"/>
  <c r="F219" i="8"/>
  <c r="T8" i="11" l="1"/>
  <c r="D8" i="11" s="1"/>
  <c r="W9" i="11"/>
  <c r="D9" i="11" s="1"/>
  <c r="C12" i="17" s="1"/>
  <c r="Q7" i="11"/>
  <c r="Z47" i="11"/>
  <c r="M115" i="1"/>
  <c r="V29" i="17"/>
  <c r="V54" i="11"/>
  <c r="V20" i="17"/>
  <c r="Y45" i="11"/>
  <c r="F137" i="8"/>
  <c r="F138" i="8"/>
  <c r="F142" i="8"/>
  <c r="F139" i="8"/>
  <c r="S10" i="1"/>
  <c r="AA32" i="11"/>
  <c r="M33" i="11" s="1"/>
  <c r="AD109" i="5"/>
  <c r="AD108" i="5"/>
  <c r="Z37" i="11"/>
  <c r="M41" i="1"/>
  <c r="V30" i="17"/>
  <c r="Y55" i="11"/>
  <c r="J217" i="8"/>
  <c r="J218" i="8"/>
  <c r="J222" i="8"/>
  <c r="J219" i="8"/>
  <c r="N217" i="8"/>
  <c r="N218" i="8"/>
  <c r="N219" i="8"/>
  <c r="N222" i="8"/>
  <c r="H58" i="8"/>
  <c r="H57" i="8"/>
  <c r="H62" i="8"/>
  <c r="H59" i="8"/>
  <c r="V18" i="17"/>
  <c r="S43" i="11"/>
  <c r="J98" i="8"/>
  <c r="J97" i="8"/>
  <c r="J102" i="8"/>
  <c r="J99" i="8"/>
  <c r="F223" i="8"/>
  <c r="F225" i="8" s="1"/>
  <c r="Z230" i="8"/>
  <c r="G219" i="8"/>
  <c r="N177" i="8"/>
  <c r="N178" i="8"/>
  <c r="N179" i="8"/>
  <c r="N182" i="8"/>
  <c r="L217" i="8"/>
  <c r="L218" i="8"/>
  <c r="L219" i="8"/>
  <c r="L222" i="8"/>
  <c r="AD34" i="1"/>
  <c r="AD33" i="1"/>
  <c r="L57" i="8"/>
  <c r="L58" i="8"/>
  <c r="L59" i="8"/>
  <c r="L62" i="8"/>
  <c r="T33" i="17"/>
  <c r="R58" i="11"/>
  <c r="R7" i="11" s="1"/>
  <c r="G6" i="11" s="1"/>
  <c r="G7" i="11" s="1"/>
  <c r="F178" i="8"/>
  <c r="F177" i="8"/>
  <c r="F179" i="8"/>
  <c r="F182" i="8"/>
  <c r="J63" i="8"/>
  <c r="J65" i="8" s="1"/>
  <c r="AB70" i="8"/>
  <c r="K59" i="8"/>
  <c r="Y108" i="1"/>
  <c r="Y107" i="1"/>
  <c r="D183" i="8"/>
  <c r="D185" i="8" s="1"/>
  <c r="Y190" i="8"/>
  <c r="E179" i="8"/>
  <c r="W204" i="5"/>
  <c r="Z34" i="1"/>
  <c r="Z33" i="1"/>
  <c r="Z71" i="1"/>
  <c r="Z70" i="1"/>
  <c r="H218" i="8"/>
  <c r="H217" i="8"/>
  <c r="H222" i="8"/>
  <c r="H219" i="8"/>
  <c r="AG32" i="5"/>
  <c r="AG33" i="5"/>
  <c r="S84" i="1"/>
  <c r="AA42" i="11"/>
  <c r="M43" i="11" s="1"/>
  <c r="D103" i="8"/>
  <c r="D105" i="8" s="1"/>
  <c r="Y110" i="8"/>
  <c r="E99" i="8"/>
  <c r="AA190" i="8"/>
  <c r="H183" i="8"/>
  <c r="H185" i="8" s="1"/>
  <c r="I179" i="8"/>
  <c r="J178" i="8"/>
  <c r="J177" i="8"/>
  <c r="J179" i="8"/>
  <c r="J182" i="8"/>
  <c r="AA181" i="1"/>
  <c r="AA182" i="1"/>
  <c r="V28" i="1"/>
  <c r="V29" i="1" s="1"/>
  <c r="V30" i="1" s="1"/>
  <c r="T35" i="17"/>
  <c r="X60" i="11"/>
  <c r="X9" i="11" s="1"/>
  <c r="AD182" i="1"/>
  <c r="AD181" i="1"/>
  <c r="W173" i="8"/>
  <c r="W172" i="8"/>
  <c r="Y189" i="8"/>
  <c r="AA33" i="1"/>
  <c r="AA34" i="1"/>
  <c r="V10" i="17"/>
  <c r="Y35" i="11"/>
  <c r="V9" i="17"/>
  <c r="V34" i="11"/>
  <c r="V8" i="17"/>
  <c r="S33" i="11"/>
  <c r="H138" i="8"/>
  <c r="H137" i="8"/>
  <c r="H142" i="8"/>
  <c r="H139" i="8"/>
  <c r="AC223" i="5"/>
  <c r="AC222" i="5"/>
  <c r="AA61" i="8"/>
  <c r="AA62" i="8"/>
  <c r="K57" i="8"/>
  <c r="AB68" i="8"/>
  <c r="W181" i="8"/>
  <c r="W182" i="8"/>
  <c r="E177" i="8"/>
  <c r="Y188" i="8"/>
  <c r="L178" i="8"/>
  <c r="L177" i="8"/>
  <c r="T169" i="8" s="1"/>
  <c r="L182" i="8"/>
  <c r="L179" i="8"/>
  <c r="Z70" i="11"/>
  <c r="Q42" i="5"/>
  <c r="H98" i="8"/>
  <c r="H97" i="8"/>
  <c r="H99" i="8"/>
  <c r="H102" i="8"/>
  <c r="L18" i="8"/>
  <c r="L17" i="8"/>
  <c r="L19" i="8"/>
  <c r="L22" i="8"/>
  <c r="Y182" i="8"/>
  <c r="Y181" i="8"/>
  <c r="AA188" i="8"/>
  <c r="I177" i="8"/>
  <c r="Y172" i="8"/>
  <c r="Y173" i="8"/>
  <c r="AA189" i="8"/>
  <c r="H17" i="8"/>
  <c r="H18" i="8"/>
  <c r="H19" i="8"/>
  <c r="H22" i="8"/>
  <c r="F57" i="8"/>
  <c r="F58" i="8"/>
  <c r="F59" i="8"/>
  <c r="F62" i="8"/>
  <c r="AA52" i="8"/>
  <c r="AA53" i="8"/>
  <c r="AB69" i="8"/>
  <c r="L98" i="8"/>
  <c r="L97" i="8"/>
  <c r="L99" i="8"/>
  <c r="L102" i="8"/>
  <c r="AH32" i="12"/>
  <c r="AH33" i="12"/>
  <c r="D63" i="8"/>
  <c r="D65" i="8" s="1"/>
  <c r="Y70" i="8"/>
  <c r="E59" i="8"/>
  <c r="N17" i="8"/>
  <c r="N18" i="8"/>
  <c r="N19" i="8"/>
  <c r="N22" i="8"/>
  <c r="W93" i="8"/>
  <c r="W92" i="8"/>
  <c r="Y109" i="8"/>
  <c r="F18" i="8"/>
  <c r="F17" i="8"/>
  <c r="F19" i="8"/>
  <c r="F22" i="8"/>
  <c r="Z219" i="1"/>
  <c r="Z218" i="1"/>
  <c r="T34" i="17"/>
  <c r="U59" i="11"/>
  <c r="U8" i="11" s="1"/>
  <c r="G8" i="11" s="1"/>
  <c r="N98" i="8"/>
  <c r="N97" i="8"/>
  <c r="N102" i="8"/>
  <c r="N99" i="8"/>
  <c r="Z64" i="11"/>
  <c r="Q4" i="5"/>
  <c r="S158" i="1"/>
  <c r="AA52" i="11"/>
  <c r="M53" i="11" s="1"/>
  <c r="N57" i="8"/>
  <c r="N58" i="8"/>
  <c r="N62" i="8"/>
  <c r="N59" i="8"/>
  <c r="N137" i="8"/>
  <c r="N138" i="8"/>
  <c r="N139" i="8"/>
  <c r="N142" i="8"/>
  <c r="AB219" i="1"/>
  <c r="AB218" i="1"/>
  <c r="W62" i="8"/>
  <c r="W61" i="8"/>
  <c r="E57" i="8"/>
  <c r="Y68" i="8"/>
  <c r="J18" i="8"/>
  <c r="J17" i="8"/>
  <c r="J19" i="8"/>
  <c r="J22" i="8"/>
  <c r="W102" i="8"/>
  <c r="W101" i="8"/>
  <c r="Y108" i="8"/>
  <c r="E97" i="8"/>
  <c r="X213" i="8"/>
  <c r="X212" i="8"/>
  <c r="Z229" i="8"/>
  <c r="X222" i="8"/>
  <c r="X221" i="8"/>
  <c r="Z228" i="8"/>
  <c r="G217" i="8"/>
  <c r="AC219" i="1"/>
  <c r="AC218" i="1"/>
  <c r="D217" i="8"/>
  <c r="D218" i="8"/>
  <c r="D222" i="8"/>
  <c r="D219" i="8"/>
  <c r="F97" i="8"/>
  <c r="F98" i="8"/>
  <c r="F99" i="8"/>
  <c r="F102" i="8"/>
  <c r="AC34" i="1"/>
  <c r="AC33" i="1"/>
  <c r="S195" i="1"/>
  <c r="AA57" i="11"/>
  <c r="M58" i="11" s="1"/>
  <c r="M65" i="11"/>
  <c r="AC64" i="11"/>
  <c r="V176" i="1"/>
  <c r="V177" i="1" s="1"/>
  <c r="V178" i="1" s="1"/>
  <c r="J138" i="8"/>
  <c r="J137" i="8"/>
  <c r="J139" i="8"/>
  <c r="J142" i="8"/>
  <c r="V19" i="17"/>
  <c r="V44" i="11"/>
  <c r="D16" i="8"/>
  <c r="R16" i="8"/>
  <c r="AD107" i="1"/>
  <c r="AD108" i="1"/>
  <c r="AC33" i="12"/>
  <c r="AC32" i="12"/>
  <c r="D137" i="8"/>
  <c r="D138" i="8"/>
  <c r="D142" i="8"/>
  <c r="D139" i="8"/>
  <c r="W53" i="8"/>
  <c r="W52" i="8"/>
  <c r="Y69" i="8"/>
  <c r="L137" i="8"/>
  <c r="L138" i="8"/>
  <c r="L139" i="8"/>
  <c r="L142" i="8"/>
  <c r="V102" i="1"/>
  <c r="V103" i="1" s="1"/>
  <c r="V104" i="1" s="1"/>
  <c r="AA108" i="1"/>
  <c r="AA107" i="1"/>
  <c r="Z82" i="11"/>
  <c r="Q118" i="5"/>
  <c r="AB76" i="11"/>
  <c r="W90" i="5"/>
  <c r="U213" i="1"/>
  <c r="U214" i="1" s="1"/>
  <c r="U215" i="1" s="1"/>
  <c r="V28" i="17"/>
  <c r="S53" i="11"/>
  <c r="AD219" i="1"/>
  <c r="AD218" i="1"/>
  <c r="AB144" i="1"/>
  <c r="AB145" i="1"/>
  <c r="Z88" i="11"/>
  <c r="Q156" i="5"/>
  <c r="AC71" i="1"/>
  <c r="AC70" i="1"/>
  <c r="F224" i="8" l="1"/>
  <c r="C11" i="17"/>
  <c r="AB7" i="11"/>
  <c r="S5" i="11"/>
  <c r="D6" i="11"/>
  <c r="Y9" i="11"/>
  <c r="J9" i="11" s="1"/>
  <c r="I12" i="17" s="1"/>
  <c r="W169" i="8"/>
  <c r="W54" i="10" s="1"/>
  <c r="S49" i="8"/>
  <c r="W171" i="8"/>
  <c r="D165" i="8" s="1"/>
  <c r="J64" i="8"/>
  <c r="T49" i="8"/>
  <c r="F9" i="17"/>
  <c r="F10" i="17"/>
  <c r="AC142" i="8"/>
  <c r="AC141" i="8"/>
  <c r="O137" i="8"/>
  <c r="AD148" i="8"/>
  <c r="N64" i="11"/>
  <c r="AB45" i="17" s="1"/>
  <c r="M66" i="11"/>
  <c r="Y21" i="8"/>
  <c r="Y22" i="8"/>
  <c r="AA28" i="8"/>
  <c r="I17" i="8"/>
  <c r="G9" i="11"/>
  <c r="F12" i="17" s="1"/>
  <c r="AC7" i="11"/>
  <c r="Y101" i="8"/>
  <c r="Y102" i="8"/>
  <c r="W91" i="8" s="1"/>
  <c r="D85" i="8" s="1"/>
  <c r="AA108" i="8"/>
  <c r="I97" i="8"/>
  <c r="Y192" i="8"/>
  <c r="Y193" i="8"/>
  <c r="Y195" i="8" s="1"/>
  <c r="Y141" i="8"/>
  <c r="Y142" i="8"/>
  <c r="AA148" i="8"/>
  <c r="I137" i="8"/>
  <c r="AA181" i="8"/>
  <c r="AA182" i="8"/>
  <c r="K177" i="8"/>
  <c r="AB188" i="8"/>
  <c r="Y118" i="8"/>
  <c r="E105" i="8"/>
  <c r="Y212" i="8"/>
  <c r="Y209" i="8" s="1"/>
  <c r="Y213" i="8"/>
  <c r="AA229" i="8"/>
  <c r="E185" i="8"/>
  <c r="Y198" i="8"/>
  <c r="F183" i="8"/>
  <c r="F185" i="8" s="1"/>
  <c r="Z190" i="8"/>
  <c r="G179" i="8"/>
  <c r="AB61" i="8"/>
  <c r="AB51" i="8" s="1"/>
  <c r="H45" i="8" s="1"/>
  <c r="AB62" i="8"/>
  <c r="AC68" i="8"/>
  <c r="M57" i="8"/>
  <c r="AB222" i="8"/>
  <c r="AB221" i="8"/>
  <c r="AC228" i="8"/>
  <c r="M217" i="8"/>
  <c r="J103" i="8"/>
  <c r="J105" i="8" s="1"/>
  <c r="AB110" i="8"/>
  <c r="K99" i="8"/>
  <c r="Y61" i="8"/>
  <c r="Y62" i="8"/>
  <c r="W51" i="8" s="1"/>
  <c r="D45" i="8" s="1"/>
  <c r="I57" i="8"/>
  <c r="AA68" i="8"/>
  <c r="N63" i="8"/>
  <c r="N65" i="8" s="1"/>
  <c r="AD70" i="8"/>
  <c r="O59" i="8"/>
  <c r="N103" i="8"/>
  <c r="N105" i="8" s="1"/>
  <c r="AD110" i="8"/>
  <c r="O99" i="8"/>
  <c r="N23" i="8"/>
  <c r="N25" i="8" s="1"/>
  <c r="O19" i="8"/>
  <c r="AD30" i="8"/>
  <c r="Y92" i="8"/>
  <c r="Y93" i="8"/>
  <c r="W89" i="8" s="1"/>
  <c r="AA109" i="8"/>
  <c r="Y132" i="8"/>
  <c r="Y133" i="8"/>
  <c r="AA149" i="8"/>
  <c r="AA172" i="8"/>
  <c r="AA173" i="8"/>
  <c r="AB189" i="8"/>
  <c r="S171" i="8"/>
  <c r="X182" i="8"/>
  <c r="Y171" i="8" s="1"/>
  <c r="F165" i="8" s="1"/>
  <c r="X181" i="8"/>
  <c r="X171" i="8" s="1"/>
  <c r="E165" i="8" s="1"/>
  <c r="G177" i="8"/>
  <c r="Z188" i="8"/>
  <c r="Y52" i="8"/>
  <c r="Y53" i="8"/>
  <c r="W49" i="8" s="1"/>
  <c r="AA69" i="8"/>
  <c r="AA213" i="8"/>
  <c r="AA212" i="8"/>
  <c r="AB229" i="8"/>
  <c r="S131" i="8"/>
  <c r="D143" i="8"/>
  <c r="D145" i="8" s="1"/>
  <c r="Y150" i="8"/>
  <c r="E139" i="8"/>
  <c r="D17" i="8"/>
  <c r="D18" i="8"/>
  <c r="D19" i="8"/>
  <c r="D22" i="8"/>
  <c r="N104" i="8"/>
  <c r="F23" i="8"/>
  <c r="F25" i="8" s="1"/>
  <c r="Z30" i="8"/>
  <c r="G19" i="8"/>
  <c r="AC13" i="8"/>
  <c r="AC12" i="8"/>
  <c r="AD29" i="8"/>
  <c r="F63" i="8"/>
  <c r="F65" i="8" s="1"/>
  <c r="Z70" i="8"/>
  <c r="G59" i="8"/>
  <c r="L23" i="8"/>
  <c r="L25" i="8" s="1"/>
  <c r="AC30" i="8"/>
  <c r="M19" i="8"/>
  <c r="S7" i="11"/>
  <c r="J6" i="11" s="1"/>
  <c r="J7" i="11" s="1"/>
  <c r="Z42" i="11"/>
  <c r="M78" i="1"/>
  <c r="X173" i="8"/>
  <c r="Y169" i="8" s="1"/>
  <c r="X172" i="8"/>
  <c r="X169" i="8" s="1"/>
  <c r="Z189" i="8"/>
  <c r="O179" i="8"/>
  <c r="N183" i="8"/>
  <c r="N185" i="8" s="1"/>
  <c r="AD190" i="8"/>
  <c r="AA101" i="8"/>
  <c r="AA102" i="8"/>
  <c r="AB108" i="8"/>
  <c r="K97" i="8"/>
  <c r="AA221" i="8"/>
  <c r="AA222" i="8"/>
  <c r="K217" i="8"/>
  <c r="AB228" i="8"/>
  <c r="Z32" i="11"/>
  <c r="M4" i="1"/>
  <c r="AA132" i="8"/>
  <c r="AA133" i="8"/>
  <c r="AB149" i="8"/>
  <c r="N88" i="11"/>
  <c r="AB70" i="17" s="1"/>
  <c r="M90" i="11"/>
  <c r="L143" i="8"/>
  <c r="L145" i="8" s="1"/>
  <c r="M139" i="8"/>
  <c r="AC150" i="8"/>
  <c r="AC53" i="8"/>
  <c r="AA49" i="8" s="1"/>
  <c r="AC52" i="8"/>
  <c r="AD69" i="8"/>
  <c r="AC102" i="8"/>
  <c r="AC101" i="8"/>
  <c r="O97" i="8"/>
  <c r="AD108" i="8"/>
  <c r="X21" i="8"/>
  <c r="X22" i="8"/>
  <c r="Y11" i="8" s="1"/>
  <c r="F5" i="8" s="1"/>
  <c r="G17" i="8"/>
  <c r="Z28" i="8"/>
  <c r="AC21" i="8"/>
  <c r="AC22" i="8"/>
  <c r="AD28" i="8"/>
  <c r="O17" i="8"/>
  <c r="L103" i="8"/>
  <c r="L105" i="8" s="1"/>
  <c r="AC110" i="8"/>
  <c r="M99" i="8"/>
  <c r="X53" i="8"/>
  <c r="X52" i="8"/>
  <c r="X49" i="8" s="1"/>
  <c r="Z69" i="8"/>
  <c r="AB22" i="8"/>
  <c r="AB21" i="8"/>
  <c r="M17" i="8"/>
  <c r="AC28" i="8"/>
  <c r="N70" i="11"/>
  <c r="AB51" i="17" s="1"/>
  <c r="M72" i="11"/>
  <c r="S169" i="8"/>
  <c r="AA198" i="8"/>
  <c r="I185" i="8"/>
  <c r="H184" i="8"/>
  <c r="AC172" i="8"/>
  <c r="AC173" i="8"/>
  <c r="AD189" i="8"/>
  <c r="AA92" i="8"/>
  <c r="AA93" i="8"/>
  <c r="AB109" i="8"/>
  <c r="AD230" i="8"/>
  <c r="N223" i="8"/>
  <c r="N225" i="8" s="1"/>
  <c r="O219" i="8"/>
  <c r="F143" i="8"/>
  <c r="F145" i="8" s="1"/>
  <c r="Z150" i="8"/>
  <c r="G139" i="8"/>
  <c r="F11" i="17"/>
  <c r="F103" i="8"/>
  <c r="F105" i="8" s="1"/>
  <c r="G99" i="8"/>
  <c r="Z110" i="8"/>
  <c r="X93" i="8"/>
  <c r="Y89" i="8" s="1"/>
  <c r="X92" i="8"/>
  <c r="X89" i="8" s="1"/>
  <c r="Z109" i="8"/>
  <c r="W141" i="8"/>
  <c r="W142" i="8"/>
  <c r="S129" i="8"/>
  <c r="T129" i="8"/>
  <c r="E137" i="8"/>
  <c r="Y148" i="8"/>
  <c r="AA12" i="8"/>
  <c r="AA9" i="8" s="1"/>
  <c r="AA13" i="8"/>
  <c r="AB29" i="8"/>
  <c r="AC62" i="8"/>
  <c r="AA51" i="8" s="1"/>
  <c r="G45" i="8" s="1"/>
  <c r="AC61" i="8"/>
  <c r="AC51" i="8" s="1"/>
  <c r="I45" i="8" s="1"/>
  <c r="AD68" i="8"/>
  <c r="O57" i="8"/>
  <c r="AC93" i="8"/>
  <c r="AC92" i="8"/>
  <c r="AD109" i="8"/>
  <c r="X13" i="8"/>
  <c r="X12" i="8"/>
  <c r="Z29" i="8"/>
  <c r="AB102" i="8"/>
  <c r="AB101" i="8"/>
  <c r="AC108" i="8"/>
  <c r="M97" i="8"/>
  <c r="X62" i="8"/>
  <c r="Y51" i="8" s="1"/>
  <c r="F45" i="8" s="1"/>
  <c r="X61" i="8"/>
  <c r="X51" i="8" s="1"/>
  <c r="E45" i="8" s="1"/>
  <c r="G57" i="8"/>
  <c r="Z68" i="8"/>
  <c r="AB13" i="8"/>
  <c r="AB12" i="8"/>
  <c r="AC29" i="8"/>
  <c r="L183" i="8"/>
  <c r="L185" i="8" s="1"/>
  <c r="M179" i="8"/>
  <c r="AC190" i="8"/>
  <c r="V8" i="11"/>
  <c r="J8" i="11" s="1"/>
  <c r="I11" i="17" s="1"/>
  <c r="D104" i="8"/>
  <c r="AC182" i="8"/>
  <c r="AC181" i="8"/>
  <c r="O177" i="8"/>
  <c r="AD188" i="8"/>
  <c r="AC212" i="8"/>
  <c r="AC213" i="8"/>
  <c r="AD229" i="8"/>
  <c r="J23" i="8"/>
  <c r="J25" i="8" s="1"/>
  <c r="AB30" i="8"/>
  <c r="K19" i="8"/>
  <c r="AA22" i="8"/>
  <c r="AA21" i="8"/>
  <c r="AA11" i="8" s="1"/>
  <c r="G5" i="8" s="1"/>
  <c r="AB28" i="8"/>
  <c r="K17" i="8"/>
  <c r="AB133" i="8"/>
  <c r="AB132" i="8"/>
  <c r="AC149" i="8"/>
  <c r="X102" i="8"/>
  <c r="Y91" i="8" s="1"/>
  <c r="F85" i="8" s="1"/>
  <c r="X101" i="8"/>
  <c r="X91" i="8" s="1"/>
  <c r="E85" i="8" s="1"/>
  <c r="G97" i="8"/>
  <c r="Z108" i="8"/>
  <c r="Z232" i="8"/>
  <c r="Z233" i="8"/>
  <c r="Z235" i="8" s="1"/>
  <c r="Y112" i="8"/>
  <c r="Y113" i="8"/>
  <c r="Y115" i="8" s="1"/>
  <c r="N82" i="11"/>
  <c r="AB63" i="17" s="1"/>
  <c r="M84" i="11"/>
  <c r="AB142" i="8"/>
  <c r="AB141" i="8"/>
  <c r="AC148" i="8"/>
  <c r="M137" i="8"/>
  <c r="S211" i="8"/>
  <c r="D223" i="8"/>
  <c r="D225" i="8" s="1"/>
  <c r="Y230" i="8"/>
  <c r="E219" i="8"/>
  <c r="T89" i="8"/>
  <c r="Y72" i="8"/>
  <c r="Y73" i="8"/>
  <c r="Y75" i="8" s="1"/>
  <c r="AB93" i="8"/>
  <c r="AB92" i="8"/>
  <c r="AC109" i="8"/>
  <c r="AA192" i="8"/>
  <c r="AA193" i="8"/>
  <c r="AA195" i="8" s="1"/>
  <c r="D64" i="8"/>
  <c r="H223" i="8"/>
  <c r="H225" i="8" s="1"/>
  <c r="AA230" i="8"/>
  <c r="I219" i="8"/>
  <c r="Z94" i="11"/>
  <c r="Q194" i="5"/>
  <c r="AC222" i="8"/>
  <c r="AC221" i="8"/>
  <c r="AD228" i="8"/>
  <c r="O217" i="8"/>
  <c r="X133" i="8"/>
  <c r="Y129" i="8" s="1"/>
  <c r="X132" i="8"/>
  <c r="Z149" i="8"/>
  <c r="N47" i="11"/>
  <c r="AB22" i="17" s="1"/>
  <c r="AC47" i="11"/>
  <c r="M49" i="11"/>
  <c r="W221" i="8"/>
  <c r="W222" i="8"/>
  <c r="X211" i="8" s="1"/>
  <c r="E205" i="8" s="1"/>
  <c r="T209" i="8"/>
  <c r="S209" i="8"/>
  <c r="E217" i="8"/>
  <c r="Y228" i="8"/>
  <c r="Z76" i="11"/>
  <c r="Q80" i="5"/>
  <c r="W132" i="8"/>
  <c r="W133" i="8"/>
  <c r="Y149" i="8"/>
  <c r="J143" i="8"/>
  <c r="J145" i="8" s="1"/>
  <c r="K139" i="8"/>
  <c r="AB150" i="8"/>
  <c r="Z57" i="11"/>
  <c r="M189" i="1"/>
  <c r="S89" i="8"/>
  <c r="N143" i="8"/>
  <c r="N145" i="8" s="1"/>
  <c r="AD150" i="8"/>
  <c r="O139" i="8"/>
  <c r="Z52" i="11"/>
  <c r="M152" i="1"/>
  <c r="S51" i="8"/>
  <c r="H23" i="8"/>
  <c r="H25" i="8" s="1"/>
  <c r="AA30" i="8"/>
  <c r="I19" i="8"/>
  <c r="AB182" i="8"/>
  <c r="AB181" i="8"/>
  <c r="AB171" i="8" s="1"/>
  <c r="H165" i="8" s="1"/>
  <c r="AC188" i="8"/>
  <c r="M177" i="8"/>
  <c r="AB72" i="8"/>
  <c r="AB73" i="8"/>
  <c r="AB75" i="8" s="1"/>
  <c r="H143" i="8"/>
  <c r="H145" i="8" s="1"/>
  <c r="AA150" i="8"/>
  <c r="I139" i="8"/>
  <c r="K65" i="8"/>
  <c r="AB78" i="8"/>
  <c r="L63" i="8"/>
  <c r="L65" i="8" s="1"/>
  <c r="AC70" i="8"/>
  <c r="M59" i="8"/>
  <c r="AC230" i="8"/>
  <c r="M219" i="8"/>
  <c r="L223" i="8"/>
  <c r="L225" i="8" s="1"/>
  <c r="H63" i="8"/>
  <c r="H65" i="8" s="1"/>
  <c r="AA70" i="8"/>
  <c r="I59" i="8"/>
  <c r="D184" i="8"/>
  <c r="N37" i="11"/>
  <c r="AB12" i="17" s="1"/>
  <c r="M39" i="11"/>
  <c r="AC37" i="11"/>
  <c r="X142" i="8"/>
  <c r="X141" i="8"/>
  <c r="X131" i="8" s="1"/>
  <c r="E125" i="8" s="1"/>
  <c r="Z148" i="8"/>
  <c r="G137" i="8"/>
  <c r="AA141" i="8"/>
  <c r="AA142" i="8"/>
  <c r="AB148" i="8"/>
  <c r="K137" i="8"/>
  <c r="W212" i="8"/>
  <c r="W213" i="8"/>
  <c r="X209" i="8" s="1"/>
  <c r="Y229" i="8"/>
  <c r="AC133" i="8"/>
  <c r="AC132" i="8"/>
  <c r="AD149" i="8"/>
  <c r="Y78" i="8"/>
  <c r="E65" i="8"/>
  <c r="Y13" i="8"/>
  <c r="Y12" i="8"/>
  <c r="AA29" i="8"/>
  <c r="D53" i="10"/>
  <c r="Q53" i="10" s="1"/>
  <c r="T187" i="8"/>
  <c r="H103" i="8"/>
  <c r="H105" i="8" s="1"/>
  <c r="I99" i="8"/>
  <c r="AA110" i="8"/>
  <c r="AB173" i="8"/>
  <c r="AB172" i="8"/>
  <c r="AB169" i="8" s="1"/>
  <c r="AC189" i="8"/>
  <c r="AB190" i="8"/>
  <c r="J183" i="8"/>
  <c r="J185" i="8" s="1"/>
  <c r="K179" i="8"/>
  <c r="S91" i="8"/>
  <c r="Y221" i="8"/>
  <c r="Y211" i="8" s="1"/>
  <c r="F205" i="8" s="1"/>
  <c r="Y222" i="8"/>
  <c r="I217" i="8"/>
  <c r="AA228" i="8"/>
  <c r="AB53" i="8"/>
  <c r="AB52" i="8"/>
  <c r="AB49" i="8" s="1"/>
  <c r="AC69" i="8"/>
  <c r="AB213" i="8"/>
  <c r="AB212" i="8"/>
  <c r="AB209" i="8" s="1"/>
  <c r="AC229" i="8"/>
  <c r="G225" i="8"/>
  <c r="Z238" i="8"/>
  <c r="J223" i="8"/>
  <c r="J225" i="8" s="1"/>
  <c r="AB230" i="8"/>
  <c r="K219" i="8"/>
  <c r="W166" i="8" l="1"/>
  <c r="D166" i="8" s="1"/>
  <c r="AA131" i="8"/>
  <c r="G125" i="8" s="1"/>
  <c r="AB91" i="8"/>
  <c r="H85" i="8" s="1"/>
  <c r="D144" i="8"/>
  <c r="W211" i="8"/>
  <c r="D205" i="8" s="1"/>
  <c r="Y131" i="8"/>
  <c r="F125" i="8" s="1"/>
  <c r="U147" i="8" s="1"/>
  <c r="D224" i="8"/>
  <c r="W167" i="8"/>
  <c r="D167" i="8" s="1"/>
  <c r="D55" i="10" s="1"/>
  <c r="AC55" i="10" s="1"/>
  <c r="F184" i="8"/>
  <c r="C9" i="17"/>
  <c r="D7" i="11"/>
  <c r="C10" i="17" s="1"/>
  <c r="H11" i="11"/>
  <c r="AB129" i="8"/>
  <c r="AB126" i="8" s="1"/>
  <c r="H126" i="8" s="1"/>
  <c r="H144" i="8"/>
  <c r="AC211" i="8"/>
  <c r="I205" i="8" s="1"/>
  <c r="N58" i="10" s="1"/>
  <c r="V58" i="10" s="1"/>
  <c r="Y49" i="8"/>
  <c r="Y39" i="10" s="1"/>
  <c r="AC89" i="8"/>
  <c r="AD7" i="11"/>
  <c r="S52" i="8"/>
  <c r="X129" i="8"/>
  <c r="X49" i="10" s="1"/>
  <c r="H64" i="8"/>
  <c r="H24" i="8"/>
  <c r="AC129" i="8"/>
  <c r="AC126" i="8" s="1"/>
  <c r="I126" i="8" s="1"/>
  <c r="N49" i="10" s="1"/>
  <c r="AB89" i="8"/>
  <c r="AA44" i="10" s="1"/>
  <c r="AC171" i="8"/>
  <c r="I165" i="8" s="1"/>
  <c r="L184" i="8"/>
  <c r="F144" i="8"/>
  <c r="S92" i="8"/>
  <c r="AC11" i="8"/>
  <c r="I5" i="8" s="1"/>
  <c r="N64" i="8"/>
  <c r="F24" i="8"/>
  <c r="S172" i="8"/>
  <c r="AA89" i="8"/>
  <c r="X206" i="8"/>
  <c r="E206" i="8" s="1"/>
  <c r="F59" i="10" s="1"/>
  <c r="X59" i="10"/>
  <c r="X207" i="8"/>
  <c r="E207" i="8" s="1"/>
  <c r="F60" i="10" s="1"/>
  <c r="AD60" i="10" s="1"/>
  <c r="J38" i="10"/>
  <c r="T38" i="10" s="1"/>
  <c r="H58" i="10"/>
  <c r="S58" i="10" s="1"/>
  <c r="U227" i="8"/>
  <c r="AA47" i="8"/>
  <c r="G47" i="8" s="1"/>
  <c r="AA46" i="8"/>
  <c r="G46" i="8" s="1"/>
  <c r="J39" i="10" s="1"/>
  <c r="Z39" i="10"/>
  <c r="Y79" i="8"/>
  <c r="Y80" i="8"/>
  <c r="Z239" i="8"/>
  <c r="Z240" i="8"/>
  <c r="O145" i="8"/>
  <c r="AD158" i="8"/>
  <c r="AB158" i="8"/>
  <c r="K145" i="8"/>
  <c r="J144" i="8"/>
  <c r="Y116" i="8"/>
  <c r="Y114" i="8"/>
  <c r="AA49" i="10"/>
  <c r="AB127" i="8"/>
  <c r="K25" i="8"/>
  <c r="AB38" i="8"/>
  <c r="AD72" i="8"/>
  <c r="AD73" i="8"/>
  <c r="AD75" i="8" s="1"/>
  <c r="AD238" i="8"/>
  <c r="O225" i="8"/>
  <c r="AB11" i="8"/>
  <c r="H5" i="8" s="1"/>
  <c r="AD112" i="8"/>
  <c r="AD113" i="8"/>
  <c r="AD115" i="8" s="1"/>
  <c r="AB112" i="8"/>
  <c r="AB113" i="8"/>
  <c r="AB115" i="8" s="1"/>
  <c r="Y166" i="8"/>
  <c r="F166" i="8" s="1"/>
  <c r="Y167" i="8"/>
  <c r="F167" i="8" s="1"/>
  <c r="Y54" i="10"/>
  <c r="W12" i="8"/>
  <c r="W9" i="8" s="1"/>
  <c r="W34" i="10" s="1"/>
  <c r="W13" i="8"/>
  <c r="X9" i="8" s="1"/>
  <c r="Y29" i="8"/>
  <c r="Z192" i="8"/>
  <c r="Z193" i="8"/>
  <c r="Z195" i="8" s="1"/>
  <c r="F64" i="8"/>
  <c r="D38" i="10"/>
  <c r="Q38" i="10" s="1"/>
  <c r="T67" i="8"/>
  <c r="Y199" i="8"/>
  <c r="Y200" i="8"/>
  <c r="AA59" i="10"/>
  <c r="AB207" i="8"/>
  <c r="AB206" i="8"/>
  <c r="H206" i="8" s="1"/>
  <c r="AA158" i="8"/>
  <c r="I145" i="8"/>
  <c r="F48" i="10"/>
  <c r="R48" i="10" s="1"/>
  <c r="I65" i="8"/>
  <c r="AA78" i="8"/>
  <c r="Y126" i="8"/>
  <c r="F126" i="8" s="1"/>
  <c r="Y127" i="8"/>
  <c r="Y49" i="10"/>
  <c r="N94" i="11"/>
  <c r="AB76" i="17" s="1"/>
  <c r="M96" i="11"/>
  <c r="Y74" i="8"/>
  <c r="Y76" i="8"/>
  <c r="Z72" i="8"/>
  <c r="Z73" i="8"/>
  <c r="Z75" i="8" s="1"/>
  <c r="N38" i="10"/>
  <c r="V38" i="10" s="1"/>
  <c r="G105" i="8"/>
  <c r="Z118" i="8"/>
  <c r="AD32" i="8"/>
  <c r="AD33" i="8"/>
  <c r="AD35" i="8" s="1"/>
  <c r="AC158" i="8"/>
  <c r="M145" i="8"/>
  <c r="N32" i="11"/>
  <c r="AB7" i="17" s="1"/>
  <c r="AC32" i="11"/>
  <c r="M34" i="11"/>
  <c r="D54" i="10"/>
  <c r="T188" i="8"/>
  <c r="W21" i="8"/>
  <c r="W11" i="8" s="1"/>
  <c r="D5" i="8" s="1"/>
  <c r="W22" i="8"/>
  <c r="X11" i="8" s="1"/>
  <c r="E5" i="8" s="1"/>
  <c r="T9" i="8"/>
  <c r="S9" i="8"/>
  <c r="E17" i="8"/>
  <c r="Y28" i="8"/>
  <c r="AA209" i="8"/>
  <c r="W129" i="8"/>
  <c r="AB193" i="8"/>
  <c r="AB195" i="8" s="1"/>
  <c r="AB192" i="8"/>
  <c r="AD152" i="8"/>
  <c r="AD153" i="8"/>
  <c r="AD155" i="8" s="1"/>
  <c r="Z152" i="8"/>
  <c r="Z153" i="8"/>
  <c r="Z155" i="8" s="1"/>
  <c r="AB80" i="8"/>
  <c r="AB79" i="8"/>
  <c r="K225" i="8"/>
  <c r="AB238" i="8"/>
  <c r="AB47" i="8"/>
  <c r="AA39" i="10"/>
  <c r="AB46" i="8"/>
  <c r="H46" i="8" s="1"/>
  <c r="AC238" i="8"/>
  <c r="M225" i="8"/>
  <c r="H224" i="8"/>
  <c r="AB74" i="8"/>
  <c r="AB76" i="8"/>
  <c r="I25" i="8"/>
  <c r="AA38" i="8"/>
  <c r="AA194" i="8"/>
  <c r="AA196" i="8"/>
  <c r="AC153" i="8"/>
  <c r="AC155" i="8" s="1"/>
  <c r="AC152" i="8"/>
  <c r="Z234" i="8"/>
  <c r="Z236" i="8"/>
  <c r="AA200" i="8"/>
  <c r="AA199" i="8"/>
  <c r="AC91" i="8"/>
  <c r="I85" i="8" s="1"/>
  <c r="AB233" i="8"/>
  <c r="AB235" i="8" s="1"/>
  <c r="AB232" i="8"/>
  <c r="AA91" i="8"/>
  <c r="G85" i="8" s="1"/>
  <c r="N42" i="11"/>
  <c r="AB17" i="17" s="1"/>
  <c r="AC42" i="11"/>
  <c r="M44" i="11"/>
  <c r="L144" i="8"/>
  <c r="F53" i="10"/>
  <c r="R53" i="10" s="1"/>
  <c r="K166" i="8"/>
  <c r="AD78" i="8"/>
  <c r="O65" i="8"/>
  <c r="AC72" i="8"/>
  <c r="AC73" i="8"/>
  <c r="AC75" i="8" s="1"/>
  <c r="Y196" i="8"/>
  <c r="Y194" i="8"/>
  <c r="AA32" i="8"/>
  <c r="AA33" i="8"/>
  <c r="AA35" i="8" s="1"/>
  <c r="J184" i="8"/>
  <c r="AD232" i="8"/>
  <c r="AD233" i="8"/>
  <c r="AD235" i="8" s="1"/>
  <c r="F58" i="10"/>
  <c r="R58" i="10" s="1"/>
  <c r="K206" i="8"/>
  <c r="AB131" i="8"/>
  <c r="H125" i="8" s="1"/>
  <c r="Z112" i="8"/>
  <c r="Z113" i="8"/>
  <c r="Z115" i="8" s="1"/>
  <c r="AB32" i="8"/>
  <c r="AB33" i="8"/>
  <c r="AB35" i="8" s="1"/>
  <c r="F38" i="10"/>
  <c r="R38" i="10" s="1"/>
  <c r="S48" i="8"/>
  <c r="T48" i="8"/>
  <c r="T54" i="8" s="1"/>
  <c r="AN37" i="10" s="1"/>
  <c r="AJ37" i="10" s="1"/>
  <c r="K46" i="8"/>
  <c r="Y9" i="8"/>
  <c r="X47" i="8"/>
  <c r="E47" i="8" s="1"/>
  <c r="F40" i="10" s="1"/>
  <c r="AD40" i="10" s="1"/>
  <c r="X46" i="8"/>
  <c r="E46" i="8" s="1"/>
  <c r="F39" i="10" s="1"/>
  <c r="X39" i="10"/>
  <c r="N33" i="10"/>
  <c r="V33" i="10" s="1"/>
  <c r="I10" i="17"/>
  <c r="I9" i="17"/>
  <c r="Z38" i="8"/>
  <c r="G25" i="8"/>
  <c r="F104" i="8"/>
  <c r="H53" i="10"/>
  <c r="S53" i="10" s="1"/>
  <c r="U187" i="8"/>
  <c r="O25" i="8"/>
  <c r="AD38" i="8"/>
  <c r="J24" i="8"/>
  <c r="AC131" i="8"/>
  <c r="I125" i="8" s="1"/>
  <c r="AA118" i="8"/>
  <c r="I105" i="8"/>
  <c r="AB152" i="8"/>
  <c r="AB153" i="8"/>
  <c r="AB155" i="8" s="1"/>
  <c r="J33" i="10"/>
  <c r="T33" i="10" s="1"/>
  <c r="AC209" i="8"/>
  <c r="H38" i="10"/>
  <c r="S38" i="10" s="1"/>
  <c r="U67" i="8"/>
  <c r="AA86" i="8"/>
  <c r="G86" i="8" s="1"/>
  <c r="J44" i="10" s="1"/>
  <c r="Z44" i="10"/>
  <c r="AA87" i="8"/>
  <c r="Y47" i="8"/>
  <c r="F47" i="8" s="1"/>
  <c r="Z32" i="8"/>
  <c r="Z33" i="8"/>
  <c r="Z35" i="8" s="1"/>
  <c r="AD198" i="8"/>
  <c r="O185" i="8"/>
  <c r="G65" i="8"/>
  <c r="Z78" i="8"/>
  <c r="W46" i="8"/>
  <c r="D46" i="8" s="1"/>
  <c r="W47" i="8"/>
  <c r="D47" i="8" s="1"/>
  <c r="W39" i="10"/>
  <c r="Y59" i="10"/>
  <c r="Y207" i="8"/>
  <c r="F207" i="8" s="1"/>
  <c r="Y206" i="8"/>
  <c r="F206" i="8" s="1"/>
  <c r="AB118" i="8"/>
  <c r="K105" i="8"/>
  <c r="L38" i="10"/>
  <c r="U38" i="10" s="1"/>
  <c r="V67" i="8"/>
  <c r="H47" i="8"/>
  <c r="L46" i="8"/>
  <c r="W209" i="8"/>
  <c r="AA171" i="8"/>
  <c r="G165" i="8" s="1"/>
  <c r="T168" i="8" s="1"/>
  <c r="T174" i="8" s="1"/>
  <c r="AN52" i="10" s="1"/>
  <c r="AJ52" i="10" s="1"/>
  <c r="AA112" i="8"/>
  <c r="AA113" i="8"/>
  <c r="AA115" i="8" s="1"/>
  <c r="K185" i="8"/>
  <c r="AB198" i="8"/>
  <c r="L53" i="10"/>
  <c r="U53" i="10" s="1"/>
  <c r="V187" i="8"/>
  <c r="N57" i="11"/>
  <c r="AB32" i="17" s="1"/>
  <c r="AC57" i="11"/>
  <c r="M59" i="11"/>
  <c r="F43" i="10"/>
  <c r="R43" i="10" s="1"/>
  <c r="K86" i="8"/>
  <c r="AD192" i="8"/>
  <c r="AD193" i="8"/>
  <c r="AD195" i="8" s="1"/>
  <c r="AC198" i="8"/>
  <c r="M185" i="8"/>
  <c r="AC87" i="8"/>
  <c r="AC86" i="8"/>
  <c r="I86" i="8" s="1"/>
  <c r="N44" i="10" s="1"/>
  <c r="AB44" i="10"/>
  <c r="AA6" i="8"/>
  <c r="G6" i="8" s="1"/>
  <c r="J34" i="10" s="1"/>
  <c r="AA7" i="8"/>
  <c r="G7" i="8" s="1"/>
  <c r="Z34" i="10"/>
  <c r="X87" i="8"/>
  <c r="E87" i="8" s="1"/>
  <c r="F45" i="10" s="1"/>
  <c r="AD45" i="10" s="1"/>
  <c r="X86" i="8"/>
  <c r="E86" i="8" s="1"/>
  <c r="F44" i="10" s="1"/>
  <c r="X44" i="10"/>
  <c r="AC49" i="8"/>
  <c r="AA211" i="8"/>
  <c r="G205" i="8" s="1"/>
  <c r="L104" i="8"/>
  <c r="W87" i="8"/>
  <c r="D87" i="8" s="1"/>
  <c r="W44" i="10"/>
  <c r="W86" i="8"/>
  <c r="D86" i="8" s="1"/>
  <c r="J224" i="8"/>
  <c r="D43" i="10"/>
  <c r="Q43" i="10" s="1"/>
  <c r="T107" i="8"/>
  <c r="AC193" i="8"/>
  <c r="AC195" i="8" s="1"/>
  <c r="AC192" i="8"/>
  <c r="AA238" i="8"/>
  <c r="I225" i="8"/>
  <c r="AA232" i="8"/>
  <c r="AA233" i="8"/>
  <c r="AA235" i="8" s="1"/>
  <c r="T193" i="8"/>
  <c r="T195" i="8" s="1"/>
  <c r="T192" i="8"/>
  <c r="N52" i="11"/>
  <c r="AB27" i="17" s="1"/>
  <c r="AC52" i="11"/>
  <c r="M54" i="11"/>
  <c r="N76" i="11"/>
  <c r="AB57" i="17" s="1"/>
  <c r="M78" i="11"/>
  <c r="J48" i="10"/>
  <c r="T48" i="10" s="1"/>
  <c r="Y232" i="8"/>
  <c r="Y233" i="8"/>
  <c r="Y235" i="8" s="1"/>
  <c r="L224" i="8"/>
  <c r="S212" i="8"/>
  <c r="E225" i="8"/>
  <c r="Y238" i="8"/>
  <c r="H43" i="10"/>
  <c r="S43" i="10" s="1"/>
  <c r="U107" i="8"/>
  <c r="AC112" i="8"/>
  <c r="AC113" i="8"/>
  <c r="AC115" i="8" s="1"/>
  <c r="Y152" i="8"/>
  <c r="Y153" i="8"/>
  <c r="Y155" i="8" s="1"/>
  <c r="Y86" i="8"/>
  <c r="F86" i="8" s="1"/>
  <c r="Y87" i="8"/>
  <c r="F87" i="8" s="1"/>
  <c r="Y44" i="10"/>
  <c r="Z158" i="8"/>
  <c r="G145" i="8"/>
  <c r="AC33" i="8"/>
  <c r="AC35" i="8" s="1"/>
  <c r="AC32" i="8"/>
  <c r="H33" i="10"/>
  <c r="S33" i="10" s="1"/>
  <c r="U27" i="8"/>
  <c r="N224" i="8"/>
  <c r="AC38" i="8"/>
  <c r="M25" i="8"/>
  <c r="S132" i="8"/>
  <c r="E145" i="8"/>
  <c r="Y158" i="8"/>
  <c r="J104" i="8"/>
  <c r="AA73" i="8"/>
  <c r="AA75" i="8" s="1"/>
  <c r="AA72" i="8"/>
  <c r="AC232" i="8"/>
  <c r="AC233" i="8"/>
  <c r="AC235" i="8" s="1"/>
  <c r="AA152" i="8"/>
  <c r="AA153" i="8"/>
  <c r="AA155" i="8" s="1"/>
  <c r="N24" i="8"/>
  <c r="D58" i="10"/>
  <c r="Q58" i="10" s="1"/>
  <c r="T227" i="8"/>
  <c r="AA54" i="10"/>
  <c r="AB167" i="8"/>
  <c r="H167" i="8" s="1"/>
  <c r="AB166" i="8"/>
  <c r="H166" i="8" s="1"/>
  <c r="AC78" i="8"/>
  <c r="M65" i="8"/>
  <c r="H104" i="8"/>
  <c r="L64" i="8"/>
  <c r="N144" i="8"/>
  <c r="N53" i="10"/>
  <c r="V53" i="10" s="1"/>
  <c r="AB9" i="8"/>
  <c r="L43" i="10"/>
  <c r="U43" i="10" s="1"/>
  <c r="V107" i="8"/>
  <c r="AC169" i="8"/>
  <c r="M105" i="8"/>
  <c r="AC118" i="8"/>
  <c r="AA129" i="8"/>
  <c r="X54" i="10"/>
  <c r="X167" i="8"/>
  <c r="E167" i="8" s="1"/>
  <c r="X166" i="8"/>
  <c r="E166" i="8" s="1"/>
  <c r="F54" i="10" s="1"/>
  <c r="AC9" i="8"/>
  <c r="S11" i="8"/>
  <c r="D23" i="8"/>
  <c r="D25" i="8" s="1"/>
  <c r="Y30" i="8"/>
  <c r="E19" i="8"/>
  <c r="N184" i="8"/>
  <c r="AA169" i="8"/>
  <c r="L24" i="8"/>
  <c r="O105" i="8"/>
  <c r="AD118" i="8"/>
  <c r="AB211" i="8"/>
  <c r="H205" i="8" s="1"/>
  <c r="G185" i="8"/>
  <c r="Z198" i="8"/>
  <c r="Y119" i="8"/>
  <c r="Y120" i="8"/>
  <c r="W131" i="8"/>
  <c r="D125" i="8" s="1"/>
  <c r="S88" i="8" l="1"/>
  <c r="Y46" i="8"/>
  <c r="F46" i="8" s="1"/>
  <c r="AB49" i="10"/>
  <c r="AB86" i="8"/>
  <c r="H86" i="8" s="1"/>
  <c r="T189" i="8"/>
  <c r="X127" i="8"/>
  <c r="E127" i="8" s="1"/>
  <c r="F50" i="10" s="1"/>
  <c r="AD50" i="10" s="1"/>
  <c r="AC127" i="8"/>
  <c r="I127" i="8" s="1"/>
  <c r="N50" i="10" s="1"/>
  <c r="AH50" i="10" s="1"/>
  <c r="AB87" i="8"/>
  <c r="H87" i="8" s="1"/>
  <c r="L45" i="10" s="1"/>
  <c r="AG45" i="10" s="1"/>
  <c r="F127" i="8"/>
  <c r="K126" i="8"/>
  <c r="T88" i="8"/>
  <c r="T94" i="8" s="1"/>
  <c r="AN42" i="10" s="1"/>
  <c r="AJ42" i="10" s="1"/>
  <c r="H48" i="10"/>
  <c r="S48" i="10" s="1"/>
  <c r="X126" i="8"/>
  <c r="E126" i="8" s="1"/>
  <c r="F49" i="10" s="1"/>
  <c r="S94" i="8"/>
  <c r="AM42" i="10" s="1"/>
  <c r="AI42" i="10" s="1"/>
  <c r="S54" i="8"/>
  <c r="AM37" i="10" s="1"/>
  <c r="AI37" i="10" s="1"/>
  <c r="S6" i="10"/>
  <c r="L86" i="8"/>
  <c r="S128" i="8"/>
  <c r="S134" i="8" s="1"/>
  <c r="AM47" i="10" s="1"/>
  <c r="AI47" i="10" s="1"/>
  <c r="L166" i="8"/>
  <c r="H50" i="10"/>
  <c r="AE50" i="10" s="1"/>
  <c r="U149" i="8"/>
  <c r="J35" i="10"/>
  <c r="AF35" i="10" s="1"/>
  <c r="D40" i="10"/>
  <c r="AC40" i="10" s="1"/>
  <c r="T69" i="8"/>
  <c r="K47" i="8"/>
  <c r="D45" i="10"/>
  <c r="AC45" i="10" s="1"/>
  <c r="K87" i="8"/>
  <c r="T109" i="8"/>
  <c r="H40" i="10"/>
  <c r="AE40" i="10" s="1"/>
  <c r="U69" i="8"/>
  <c r="H60" i="10"/>
  <c r="AE60" i="10" s="1"/>
  <c r="U229" i="8"/>
  <c r="F55" i="10"/>
  <c r="AD55" i="10" s="1"/>
  <c r="K167" i="8"/>
  <c r="L55" i="10"/>
  <c r="AG55" i="10" s="1"/>
  <c r="V189" i="8"/>
  <c r="H45" i="10"/>
  <c r="AE45" i="10" s="1"/>
  <c r="U109" i="8"/>
  <c r="T232" i="8"/>
  <c r="T233" i="8"/>
  <c r="T235" i="8" s="1"/>
  <c r="U112" i="8"/>
  <c r="U113" i="8"/>
  <c r="U115" i="8" s="1"/>
  <c r="AC196" i="8"/>
  <c r="AC194" i="8"/>
  <c r="AD196" i="8"/>
  <c r="AD194" i="8"/>
  <c r="W207" i="8"/>
  <c r="D207" i="8" s="1"/>
  <c r="W206" i="8"/>
  <c r="D206" i="8" s="1"/>
  <c r="W59" i="10"/>
  <c r="AD200" i="8"/>
  <c r="AD199" i="8"/>
  <c r="AB156" i="8"/>
  <c r="AB154" i="8"/>
  <c r="H55" i="10"/>
  <c r="AE55" i="10" s="1"/>
  <c r="U189" i="8"/>
  <c r="X6" i="8"/>
  <c r="E6" i="8" s="1"/>
  <c r="F34" i="10" s="1"/>
  <c r="X7" i="8"/>
  <c r="E7" i="8" s="1"/>
  <c r="F35" i="10" s="1"/>
  <c r="AD35" i="10" s="1"/>
  <c r="X34" i="10"/>
  <c r="X8" i="10" s="1"/>
  <c r="W127" i="8"/>
  <c r="W126" i="8"/>
  <c r="D126" i="8" s="1"/>
  <c r="W49" i="10"/>
  <c r="AD36" i="8"/>
  <c r="AD34" i="8"/>
  <c r="L59" i="10"/>
  <c r="V228" i="8"/>
  <c r="H54" i="10"/>
  <c r="U188" i="8"/>
  <c r="AA167" i="8"/>
  <c r="AA166" i="8"/>
  <c r="G166" i="8" s="1"/>
  <c r="J54" i="10" s="1"/>
  <c r="Z54" i="10"/>
  <c r="V109" i="8"/>
  <c r="U192" i="8"/>
  <c r="U193" i="8"/>
  <c r="U195" i="8" s="1"/>
  <c r="AA34" i="8"/>
  <c r="AA36" i="8"/>
  <c r="J43" i="10"/>
  <c r="T43" i="10" s="1"/>
  <c r="G87" i="8"/>
  <c r="V68" i="8"/>
  <c r="L39" i="10"/>
  <c r="Z154" i="8"/>
  <c r="Z156" i="8"/>
  <c r="AA207" i="8"/>
  <c r="G207" i="8" s="1"/>
  <c r="Z59" i="10"/>
  <c r="AA206" i="8"/>
  <c r="G206" i="8" s="1"/>
  <c r="J59" i="10" s="1"/>
  <c r="Z120" i="8"/>
  <c r="Z119" i="8"/>
  <c r="AD76" i="8"/>
  <c r="AD74" i="8"/>
  <c r="U232" i="8"/>
  <c r="U233" i="8"/>
  <c r="U235" i="8" s="1"/>
  <c r="V112" i="8"/>
  <c r="V113" i="8"/>
  <c r="V115" i="8" s="1"/>
  <c r="Y159" i="8"/>
  <c r="Y160" i="8"/>
  <c r="U32" i="8"/>
  <c r="U33" i="8" s="1"/>
  <c r="U35" i="8" s="1"/>
  <c r="H44" i="10"/>
  <c r="U108" i="8"/>
  <c r="Y240" i="8"/>
  <c r="Y239" i="8"/>
  <c r="T196" i="8"/>
  <c r="T194" i="8"/>
  <c r="J58" i="10"/>
  <c r="T58" i="10" s="1"/>
  <c r="L40" i="10"/>
  <c r="AG40" i="10" s="1"/>
  <c r="V69" i="8"/>
  <c r="Z34" i="8"/>
  <c r="Z36" i="8"/>
  <c r="U72" i="8"/>
  <c r="U73" i="8"/>
  <c r="U75" i="8" s="1"/>
  <c r="AA119" i="8"/>
  <c r="AA120" i="8"/>
  <c r="S208" i="8"/>
  <c r="S214" i="8" s="1"/>
  <c r="S168" i="8"/>
  <c r="S174" i="8" s="1"/>
  <c r="AB236" i="8"/>
  <c r="AB234" i="8"/>
  <c r="Y32" i="8"/>
  <c r="Y33" i="8"/>
  <c r="Y35" i="8" s="1"/>
  <c r="Z194" i="8"/>
  <c r="Z196" i="8"/>
  <c r="AB114" i="8"/>
  <c r="AB116" i="8"/>
  <c r="AB39" i="8"/>
  <c r="AB40" i="8"/>
  <c r="AA127" i="8"/>
  <c r="G127" i="8" s="1"/>
  <c r="AA126" i="8"/>
  <c r="G126" i="8" s="1"/>
  <c r="J49" i="10" s="1"/>
  <c r="Z49" i="10"/>
  <c r="AC79" i="8"/>
  <c r="AC80" i="8"/>
  <c r="T112" i="8"/>
  <c r="T113" i="8"/>
  <c r="T115" i="8" s="1"/>
  <c r="AC47" i="8"/>
  <c r="I47" i="8" s="1"/>
  <c r="N40" i="10" s="1"/>
  <c r="AH40" i="10" s="1"/>
  <c r="AB39" i="10"/>
  <c r="AC46" i="8"/>
  <c r="I46" i="8" s="1"/>
  <c r="N39" i="10" s="1"/>
  <c r="AB200" i="8"/>
  <c r="AB199" i="8"/>
  <c r="V72" i="8"/>
  <c r="V73" i="8"/>
  <c r="V75" i="8" s="1"/>
  <c r="N48" i="10"/>
  <c r="V48" i="10" s="1"/>
  <c r="T208" i="8"/>
  <c r="T214" i="8" s="1"/>
  <c r="AN57" i="10" s="1"/>
  <c r="AJ57" i="10" s="1"/>
  <c r="AC156" i="8"/>
  <c r="AC154" i="8"/>
  <c r="Z11" i="11"/>
  <c r="J11" i="11" s="1"/>
  <c r="I4" i="17" s="1"/>
  <c r="T128" i="8"/>
  <c r="T134" i="8" s="1"/>
  <c r="AN47" i="10" s="1"/>
  <c r="AJ47" i="10" s="1"/>
  <c r="J40" i="10"/>
  <c r="AF40" i="10" s="1"/>
  <c r="F33" i="10"/>
  <c r="R33" i="10" s="1"/>
  <c r="R6" i="10" s="1"/>
  <c r="G6" i="10" s="1"/>
  <c r="T8" i="8"/>
  <c r="T14" i="8" s="1"/>
  <c r="AN32" i="10" s="1"/>
  <c r="AJ32" i="10" s="1"/>
  <c r="S8" i="8"/>
  <c r="K6" i="8"/>
  <c r="D39" i="10"/>
  <c r="T68" i="8"/>
  <c r="AC207" i="8"/>
  <c r="I207" i="8" s="1"/>
  <c r="N60" i="10" s="1"/>
  <c r="AH60" i="10" s="1"/>
  <c r="AC206" i="8"/>
  <c r="I206" i="8" s="1"/>
  <c r="N59" i="10" s="1"/>
  <c r="AB59" i="10"/>
  <c r="D33" i="10"/>
  <c r="Q33" i="10" s="1"/>
  <c r="T27" i="8"/>
  <c r="AB36" i="8"/>
  <c r="AB34" i="8"/>
  <c r="N43" i="10"/>
  <c r="V43" i="10" s="1"/>
  <c r="V6" i="10" s="1"/>
  <c r="I87" i="8"/>
  <c r="N45" i="10" s="1"/>
  <c r="AH45" i="10" s="1"/>
  <c r="AB240" i="8"/>
  <c r="AB239" i="8"/>
  <c r="AD116" i="8"/>
  <c r="AD114" i="8"/>
  <c r="L49" i="10"/>
  <c r="V148" i="8"/>
  <c r="AA34" i="10"/>
  <c r="AA8" i="10" s="1"/>
  <c r="AB7" i="8"/>
  <c r="H7" i="8" s="1"/>
  <c r="AB6" i="8"/>
  <c r="H6" i="8" s="1"/>
  <c r="AA156" i="8"/>
  <c r="AA154" i="8"/>
  <c r="AC36" i="8"/>
  <c r="AC34" i="8"/>
  <c r="D24" i="8"/>
  <c r="Z80" i="8"/>
  <c r="Z79" i="8"/>
  <c r="H39" i="10"/>
  <c r="U68" i="8"/>
  <c r="Z40" i="8"/>
  <c r="Z39" i="8"/>
  <c r="Y7" i="8"/>
  <c r="F7" i="8" s="1"/>
  <c r="Y34" i="10"/>
  <c r="Y8" i="10" s="1"/>
  <c r="Y6" i="8"/>
  <c r="F6" i="8" s="1"/>
  <c r="AC74" i="8"/>
  <c r="AC76" i="8"/>
  <c r="AC239" i="8"/>
  <c r="AC240" i="8"/>
  <c r="AD156" i="8"/>
  <c r="AD154" i="8"/>
  <c r="H49" i="10"/>
  <c r="U148" i="8"/>
  <c r="W7" i="8"/>
  <c r="D7" i="8" s="1"/>
  <c r="W6" i="8"/>
  <c r="D6" i="8" s="1"/>
  <c r="W8" i="10"/>
  <c r="H11" i="10" s="1"/>
  <c r="L33" i="10"/>
  <c r="U33" i="10" s="1"/>
  <c r="V27" i="8"/>
  <c r="L6" i="8"/>
  <c r="D48" i="10"/>
  <c r="Q48" i="10" s="1"/>
  <c r="T147" i="8"/>
  <c r="D127" i="8"/>
  <c r="Z199" i="8"/>
  <c r="Z200" i="8"/>
  <c r="Y154" i="8"/>
  <c r="Y156" i="8"/>
  <c r="L58" i="10"/>
  <c r="U58" i="10" s="1"/>
  <c r="V227" i="8"/>
  <c r="L206" i="8"/>
  <c r="H207" i="8"/>
  <c r="S12" i="8"/>
  <c r="E25" i="8"/>
  <c r="Y38" i="8"/>
  <c r="AC120" i="8"/>
  <c r="AC119" i="8"/>
  <c r="AA236" i="8"/>
  <c r="AA234" i="8"/>
  <c r="AD120" i="8"/>
  <c r="AD119" i="8"/>
  <c r="AC234" i="8"/>
  <c r="AC236" i="8"/>
  <c r="AC116" i="8"/>
  <c r="AC114" i="8"/>
  <c r="D44" i="10"/>
  <c r="T108" i="8"/>
  <c r="AC199" i="8"/>
  <c r="AC200" i="8"/>
  <c r="L44" i="10"/>
  <c r="V108" i="8"/>
  <c r="V192" i="8"/>
  <c r="V193" i="8"/>
  <c r="V195" i="8" s="1"/>
  <c r="AA114" i="8"/>
  <c r="AA116" i="8"/>
  <c r="AB120" i="8"/>
  <c r="AB119" i="8"/>
  <c r="AD40" i="8"/>
  <c r="AD39" i="8"/>
  <c r="Z116" i="8"/>
  <c r="Z114" i="8"/>
  <c r="AD236" i="8"/>
  <c r="AD234" i="8"/>
  <c r="AB196" i="8"/>
  <c r="AB194" i="8"/>
  <c r="AC159" i="8"/>
  <c r="AC160" i="8"/>
  <c r="Z76" i="8"/>
  <c r="Z74" i="8"/>
  <c r="AA80" i="8"/>
  <c r="AA79" i="8"/>
  <c r="T72" i="8"/>
  <c r="T73" i="8"/>
  <c r="T75" i="8" s="1"/>
  <c r="AB159" i="8"/>
  <c r="AB160" i="8"/>
  <c r="V188" i="8"/>
  <c r="L54" i="10"/>
  <c r="AC7" i="8"/>
  <c r="I7" i="8" s="1"/>
  <c r="N35" i="10" s="1"/>
  <c r="AH35" i="10" s="1"/>
  <c r="AB34" i="10"/>
  <c r="AC6" i="8"/>
  <c r="I6" i="8" s="1"/>
  <c r="N34" i="10" s="1"/>
  <c r="AC167" i="8"/>
  <c r="I167" i="8" s="1"/>
  <c r="N55" i="10" s="1"/>
  <c r="AH55" i="10" s="1"/>
  <c r="AC166" i="8"/>
  <c r="I166" i="8" s="1"/>
  <c r="N54" i="10" s="1"/>
  <c r="AB54" i="10"/>
  <c r="AA76" i="8"/>
  <c r="AA74" i="8"/>
  <c r="AC39" i="8"/>
  <c r="AC40" i="8"/>
  <c r="Z160" i="8"/>
  <c r="Z159" i="8"/>
  <c r="Y236" i="8"/>
  <c r="Y234" i="8"/>
  <c r="AA240" i="8"/>
  <c r="AA239" i="8"/>
  <c r="J53" i="10"/>
  <c r="T53" i="10" s="1"/>
  <c r="G167" i="8"/>
  <c r="H59" i="10"/>
  <c r="U228" i="8"/>
  <c r="L48" i="10"/>
  <c r="U48" i="10" s="1"/>
  <c r="V147" i="8"/>
  <c r="L126" i="8"/>
  <c r="H127" i="8"/>
  <c r="AD80" i="8"/>
  <c r="AD79" i="8"/>
  <c r="AA40" i="8"/>
  <c r="AA39" i="8"/>
  <c r="U152" i="8"/>
  <c r="U153" i="8"/>
  <c r="U155" i="8" s="1"/>
  <c r="AA160" i="8"/>
  <c r="AA159" i="8"/>
  <c r="AD240" i="8"/>
  <c r="AD239" i="8"/>
  <c r="AD160" i="8"/>
  <c r="AD159" i="8"/>
  <c r="U94" i="8" l="1"/>
  <c r="AO42" i="10" s="1"/>
  <c r="AK42" i="10" s="1"/>
  <c r="U54" i="8"/>
  <c r="AB8" i="10"/>
  <c r="J8" i="10" s="1"/>
  <c r="AD9" i="10"/>
  <c r="T6" i="10"/>
  <c r="Z8" i="10"/>
  <c r="G8" i="10"/>
  <c r="AJ5" i="10"/>
  <c r="L35" i="10"/>
  <c r="AG35" i="10" s="1"/>
  <c r="V29" i="8"/>
  <c r="L7" i="8"/>
  <c r="J60" i="10"/>
  <c r="AF60" i="10" s="1"/>
  <c r="L207" i="8"/>
  <c r="D35" i="10"/>
  <c r="AC35" i="10" s="1"/>
  <c r="K7" i="8"/>
  <c r="T29" i="8"/>
  <c r="S2" i="10"/>
  <c r="J7" i="10"/>
  <c r="T76" i="8"/>
  <c r="T74" i="8"/>
  <c r="V232" i="8"/>
  <c r="V233" i="8"/>
  <c r="V235" i="8" s="1"/>
  <c r="Y39" i="8"/>
  <c r="Y40" i="8"/>
  <c r="V33" i="8"/>
  <c r="V35" i="8" s="1"/>
  <c r="V32" i="8"/>
  <c r="T114" i="8"/>
  <c r="T116" i="8"/>
  <c r="D59" i="10"/>
  <c r="T228" i="8"/>
  <c r="J55" i="10"/>
  <c r="AF55" i="10" s="1"/>
  <c r="L167" i="8"/>
  <c r="L50" i="10"/>
  <c r="AG50" i="10" s="1"/>
  <c r="V149" i="8"/>
  <c r="U6" i="10"/>
  <c r="G7" i="10" s="1"/>
  <c r="T32" i="8"/>
  <c r="T33" i="8" s="1"/>
  <c r="T35" i="8" s="1"/>
  <c r="V74" i="8"/>
  <c r="V76" i="8"/>
  <c r="V114" i="8"/>
  <c r="V116" i="8"/>
  <c r="D60" i="10"/>
  <c r="AC60" i="10" s="1"/>
  <c r="T229" i="8"/>
  <c r="K207" i="8"/>
  <c r="T236" i="8"/>
  <c r="T234" i="8"/>
  <c r="Q6" i="10"/>
  <c r="D6" i="10" s="1"/>
  <c r="AM52" i="10"/>
  <c r="AI52" i="10" s="1"/>
  <c r="U174" i="8"/>
  <c r="L60" i="10"/>
  <c r="AG60" i="10" s="1"/>
  <c r="V229" i="8"/>
  <c r="D50" i="10"/>
  <c r="AC50" i="10" s="1"/>
  <c r="K127" i="8"/>
  <c r="T149" i="8"/>
  <c r="D34" i="10"/>
  <c r="T28" i="8"/>
  <c r="V28" i="8"/>
  <c r="L34" i="10"/>
  <c r="U214" i="8"/>
  <c r="AM57" i="10"/>
  <c r="AI57" i="10" s="1"/>
  <c r="U236" i="8"/>
  <c r="U234" i="8"/>
  <c r="M45" i="8"/>
  <c r="AO37" i="10"/>
  <c r="AK37" i="10" s="1"/>
  <c r="AH9" i="10"/>
  <c r="T153" i="8"/>
  <c r="T155" i="8" s="1"/>
  <c r="T152" i="8"/>
  <c r="S14" i="8"/>
  <c r="D49" i="10"/>
  <c r="T148" i="8"/>
  <c r="U134" i="8"/>
  <c r="U36" i="8"/>
  <c r="U34" i="8"/>
  <c r="H34" i="10"/>
  <c r="U28" i="8"/>
  <c r="V152" i="8"/>
  <c r="V153" i="8"/>
  <c r="V155" i="8" s="1"/>
  <c r="U156" i="8"/>
  <c r="U154" i="8"/>
  <c r="V196" i="8"/>
  <c r="V194" i="8"/>
  <c r="H35" i="10"/>
  <c r="AE35" i="10" s="1"/>
  <c r="AE9" i="10" s="1"/>
  <c r="U29" i="8"/>
  <c r="L47" i="8"/>
  <c r="J50" i="10"/>
  <c r="AF50" i="10" s="1"/>
  <c r="L127" i="8"/>
  <c r="Y34" i="8"/>
  <c r="Y36" i="8"/>
  <c r="U76" i="8"/>
  <c r="U74" i="8"/>
  <c r="J45" i="10"/>
  <c r="AF45" i="10" s="1"/>
  <c r="L87" i="8"/>
  <c r="U196" i="8"/>
  <c r="U194" i="8"/>
  <c r="U116" i="8"/>
  <c r="U114" i="8"/>
  <c r="M85" i="8" l="1"/>
  <c r="D8" i="10"/>
  <c r="J9" i="10"/>
  <c r="R2" i="10"/>
  <c r="AF9" i="10"/>
  <c r="T156" i="8"/>
  <c r="T154" i="8"/>
  <c r="AC9" i="10"/>
  <c r="U14" i="8"/>
  <c r="AM32" i="10"/>
  <c r="AI32" i="10" s="1"/>
  <c r="AI5" i="10" s="1"/>
  <c r="AO57" i="10"/>
  <c r="AK57" i="10" s="1"/>
  <c r="M205" i="8"/>
  <c r="V236" i="8"/>
  <c r="V234" i="8"/>
  <c r="T36" i="8"/>
  <c r="T34" i="8"/>
  <c r="AO52" i="10"/>
  <c r="AK52" i="10" s="1"/>
  <c r="M165" i="8"/>
  <c r="V154" i="8"/>
  <c r="V156" i="8"/>
  <c r="AO47" i="10"/>
  <c r="AK47" i="10" s="1"/>
  <c r="M125" i="8"/>
  <c r="V36" i="8"/>
  <c r="V34" i="8"/>
  <c r="D7" i="10"/>
  <c r="Q2" i="10"/>
  <c r="AG9" i="10"/>
  <c r="G9" i="10" s="1"/>
  <c r="D9" i="10" l="1"/>
  <c r="AO32" i="10"/>
  <c r="AK32" i="10" s="1"/>
  <c r="AK5" i="10" s="1"/>
  <c r="J11" i="10" s="1"/>
  <c r="M5" i="8"/>
</calcChain>
</file>

<file path=xl/sharedStrings.xml><?xml version="1.0" encoding="utf-8"?>
<sst xmlns="http://schemas.openxmlformats.org/spreadsheetml/2006/main" count="3822" uniqueCount="402">
  <si>
    <t>By clicking on a different tab, you accept the following warning and End-User Licence Agreement below</t>
  </si>
  <si>
    <t>WARNING</t>
  </si>
  <si>
    <t>THE MDM CALCULATOR PROGRAM IS AN AC POWER AND AC CURRENT ESTIMATION TOOL ONLY.  ALL RESULTING WIRING AND LOAD CONFIGURATIONS DISPLAYED IN THE MDM CALCULATOR PROGRAM SHOULD BE REVIEWED BY QUALIFIED PROFESSIONALS IN LIGHT OF COMPONENT, EQUIPMENT, AND INSTALLATION SAFETY STANDARDS AND LOCAL ELECTRICAL CODES.</t>
  </si>
  <si>
    <t>THE MDM CALCULATOR PROGRAM IS DESIGNED FOR USE FOR MEYER SOUND PRODUCTS ONLY.  SUBSTITUTION OF COMPONENTS WILL PRODUCE INACCURATE RESULTS.</t>
  </si>
  <si>
    <t>Use of this program is not intended to replace electrical design calculations performed by professional electricians and electrical engineers.  All AC electrical circuits and equipment planned for use in an application should be evaluated by qualified professionals to insure they are being operated in accordance with component, equipment, and installation safety standards and in compliance with electrical codes for the country and region in which they are being used. This includes evaluation of the requirements for equipment such as AC distribution transformers, electrical panels, connectors, circuit shut-off devices, circuit protectors, wire and cabling, power generators, branch circuits, and all source and load equipment.</t>
  </si>
  <si>
    <t>Criteria used for indicating Acceptable and Unacceptable configurations within the program are based on datasheet Power and Current Ratings from each self-powered Meyer Sound speaker along with measured data.  UL and CE Ratings from the MDM-5000 are also incorporated in the criteria. </t>
  </si>
  <si>
    <t>About Neutral Current and Harmonics</t>
  </si>
  <si>
    <t>Different loudpeakers will draw different loads under different conditions, this is relates almost directly to the type of power supply within the loudspeaker, the drivers for this type, the type of amplifier and the way the amplifier behaves, crossover settings, and upstream signals.
This is a complex topic, but unbalanced situations on 3-phases systems will be common in the live industry. 
Until further information about Meyer Sound's loudspeakers behavior under load, it is recommended to pay attention, if possible, to the the loudspeaker type repartition between the inlet phases also.
As is recommended for industrial and commercial applications, Meyer Sound recommends that the neutral wire be equal  in size as the other three phase wire so that an uneven load distribution can be taken into account. A sag of more than 10% on the feeder conductor, should not, at this time, be allowed.
In doubt, always have the electrical design reviewed by qualified professionals.</t>
  </si>
  <si>
    <t>END USER LICENSE AGREEMENT  </t>
  </si>
  <si>
    <t>MDM Calculator</t>
  </si>
  <si>
    <t>Before you can download, install, use or update the Meyer Sound MDM Calculator you must read and acknowledge the following license agreement: </t>
  </si>
  <si>
    <t>IMPORTANT—READ CAREFULLY </t>
  </si>
  <si>
    <t>This End User License Agreement is a license agreement between you and Meyer Sound Laboratories Incorporated (“Meyer Sound”) relating to your download and use of the MDM Calculator Estimation Tool, and any documentation therefore (sometimes collectively referred to herein as the “MDM Calculator”). By clicking on the "Accept" button below, or by otherwise using the MDM Calculator, you agree to be bound by the terms of this agreement. IF YOU DO NOT AGREE TO THE TERMS OF THIS AGREEMENT, DO NOT USE THE MDM Calculator Estimation Tool. </t>
  </si>
  <si>
    <t>Intellectual Property Rights </t>
  </si>
  <si>
    <t>The MDM Calculator is the property of Meyer Sound, and is protected by U.S. and foreign copyright and other intellectual property laws. All rights not expressly granted herein are reserved to Meyer Sound. You may not remove any proprietary notice of Meyer Sound from any copy of the MDM Calculator or from any screen display. </t>
  </si>
  <si>
    <t>Permitted Uses </t>
  </si>
  <si>
    <t>You may use the MDM Calculator on a single device for your own use or for use in connection with the business of your company. You may make a single copy of the MDM Calculator for archival purposes and, subject to the limitations of this agreement, may use such copy when the original is not in use. </t>
  </si>
  <si>
    <t>Restrictions </t>
  </si>
  <si>
    <t>You may not publish, display, disclose, rent, lease, distribute or transmit the MDM Calculator, nor shall you modify the MDM Calculator or create derivative works based on the MDM Calculator. The MDM Calculator is provided to you in machine-readable form. You may not reverse engineer, decompile, disassemble or otherwise create a human-readable version of the MDM Calculator, or any portion thereof, nor shall you permit others to do so. </t>
  </si>
  <si>
    <t>Also, you may not use the MDM Calculator to perform AC power and AC estimations for sound reinforcement product other than Meyer Sound products, nor may you represent that estimations generated by the MDM Calculator using your client application software will accurately predict the performance of a sound system design in which sound reinforcement products of other manufacturers are used. </t>
  </si>
  <si>
    <t>Access </t>
  </si>
  <si>
    <t>Use of the MDM Calculator requires remote access to a proprietary acoustic prediction program residing on a Meyer Sound server. Separate permissions granted at Meyer Sound's discretion are required for such access. Meyer Sound reserves the right, without notice to the user, to terminate a user's access to its servers at any time. </t>
  </si>
  <si>
    <t>WARNING: MEYER SOUND CAREFULLY FIELD TESTS ITS SOUND REINFORCEMENT PRODUCTS. THESE FIELD TESTS RESULT IN AN EXTENSIVE ELECTRIC PERFORMANCE DATABASE WHICH IS USED BY THE MDM CALCULATOR. THIS PERFORMANCE DATABASE MODELS MEYER SOUND PRODUCTS ONLY. ESTIMATIONS GENERATED BY YOUR USE OF THE MDM CALCULATOR WILL NOT BE VALID FOR SOUND SYSTEM DESIGNS WHICH USE SOUND REINFORCEMENT PRODUCTS OF OTHER MANUFACTURERS. </t>
  </si>
  <si>
    <t>Limited Warranty </t>
  </si>
  <si>
    <t>Meyer Sound warrants, for a period of ninety (90) days after you download the MDM Calculator, that the MDM Calculator, when properly installed, will perform substantially in accordance with Meyer Sound’s current published documentation for the MDM Calculator, if any. Meyer Sound does not warrant that the functions contained in the MDM Calculator or any replacement copy will meet your requirements or that the operation of the MDM Calculator or any replacement copy will be uninterrupted or error free. Meyer Sound’s sole obligation under this warranty is to exercise its best efforts to remedy any defect in your replacement copy of the MDM Calculator in a manner consistent with Meyer Sound’s customary business practices. The above limited warranty is the only warranty made by Meyer Sound in connection with the MDM Calculator. There are no other warranties, express or implied, including but not limited to warranties of merchantability or fitness for a particular purpose, all of which are hereby expressly disclaimed.  </t>
  </si>
  <si>
    <t>Exclusive Remedy </t>
  </si>
  <si>
    <t>Meyer Sound’s entire liability and your exclusive remedy arising out of or in any connected with this agreement and/or your use of the MDM Calculator, regardless of the cause or form of action, shall not exceed the amounts paid or payable by you, if any, for the purchase of the MDM Calculator. </t>
  </si>
  <si>
    <t>Limitation of Liability </t>
  </si>
  <si>
    <t>IN NO EVENT SHALL MEYER SOUND BE LIABLE TO YOU OR TO ANY THIRD PARTY FOR ANY CONSEQUENTIAL, INCIDENTAL, OR SPECIAL DAMAGES (INCLUDING LOST PROFITS) ARISING OUT OF OR IN ANY WAY CONNECTED WITH THIS AGREEMENT OR YOUR USE OF THE MDM CALCULATOR ESTIMATION TOOL, REGARDLESS OF LEGAL THEORY, AND EVEN IF MEYER SOUND HAS BEEN ADVISED OF THE POSSIBILITY OF SUCH DAMAGES. </t>
  </si>
  <si>
    <t>Termination </t>
  </si>
  <si>
    <t>Meyer Sound may terminate this license agreement if you or your successors or assigns fail to comply with its terms and conditions. Termination of this agreement shall terminate your right to use the MDM Calculator and Meyer Sound's limited warranty of the MDM Calculator. All other provisions of this agreement shall survive termination. </t>
  </si>
  <si>
    <t>Export Control </t>
  </si>
  <si>
    <t>The United States controls the export of products and information. You agree to comply with such restrictions and not to export or re-export the MDM Calculator to countries or persons prohibited under the export controls laws. By down- loading the MDM Calculator, you are agreeing that you are not in a country where such export is prohibited or are a person or entity to which such export is prohibited. You are responsible for compliance with the laws of your local jurisdiction regarding the import, export or re-export of the MDM Calculator. </t>
  </si>
  <si>
    <t>U.S. Government Restricted Rights </t>
  </si>
  <si>
    <t>The MDM Calculator and any accompanying documentation have been developed entirely at private expense. They are licensed to U.S. Government end users as “commercial computer software” as defined in DFARS 252.227-7013, DFARS 252.211-7015 or DFARS 252.227-7014, or as a “commercial item” as defined in FAR 2.101(a), or as “restricted computer software” as defined in FAR 52.227-19 (or any equivalent agency regulation or contract clause), whichever is applicable. U.S. Government end users are licensed under only those rights granted to all other end users, which are according to the terms and conditions of this license agreement.</t>
  </si>
  <si>
    <t>Governing Law and Venue </t>
  </si>
  <si>
    <t>This agreement and performance hereunder shall be governed by and construed in accordance with the laws of the State of California U.S.A. Any suit brought by either party against the other on the basis of any controversy or claim arising out of or relating to this agreement or the breach thereof, shall only be brought in state or federal in the State of California, County of Alameda, or in the case of federal court the Northern District of California, and you hereby submit to the personal jurisdiction of and venue in such court. </t>
  </si>
  <si>
    <t>General </t>
  </si>
  <si>
    <t>If a court of competent jurisdiction holds any provision of this agreement invalid, such provision shall to that extent be deemed omitted and shall not affect the remaining provisions of this agreement, which shall remain in full force and effect. This agreement constitutes the entire agreement between you and Meyer Sound with respect to the MDM Calculator and your use thereof. Any changes to this agreement must be in writing and signed by an authorized representative of Meyer Sound. A waiver of a term of this agreement shall not be deemed a continuing waiver of such term or a waiver of any other term of this agreement.  </t>
  </si>
  <si>
    <t>Meyer Sound Laboratories, Inc.</t>
  </si>
  <si>
    <t>2832 San Pablo Avenue</t>
  </si>
  <si>
    <t>Berkeley, CA 94702 </t>
  </si>
  <si>
    <t>www.meyersound.com</t>
  </si>
  <si>
    <t>Phone : +1 510 486.1166</t>
  </si>
  <si>
    <t>Meyer Sound MDM Calculator Instructions</t>
  </si>
  <si>
    <t>Overview</t>
  </si>
  <si>
    <t xml:space="preserve">The Meyer Sound MDM Calculator allows users to quickly and accurately calculate how many Meyer Sound self-powered loudspeakers can safely connect to Meyer Sound MDM-5000 and MDM-832 power distribution modules. The MDM Calculator is designed at this time for exclusive use in Microsoft Excel and is divided into several sheets: </t>
  </si>
  <si>
    <r>
      <t>EULA</t>
    </r>
    <r>
      <rPr>
        <sz val="16"/>
        <color theme="0"/>
        <rFont val="Helvetica Neue"/>
        <family val="2"/>
      </rPr>
      <t xml:space="preserve"> – End User License Agreement. Users must read this page in its entirety before using the MDM-5000 calculator.</t>
    </r>
  </si>
  <si>
    <r>
      <t>Instructions</t>
    </r>
    <r>
      <rPr>
        <sz val="16"/>
        <color theme="0"/>
        <rFont val="Helvetica Neue"/>
        <family val="2"/>
      </rPr>
      <t xml:space="preserve"> – This page.</t>
    </r>
  </si>
  <si>
    <r>
      <rPr>
        <b/>
        <sz val="16"/>
        <color theme="0"/>
        <rFont val="Helvetica Neue"/>
        <family val="2"/>
      </rPr>
      <t>Single Speakers</t>
    </r>
    <r>
      <rPr>
        <sz val="16"/>
        <color theme="0"/>
        <rFont val="Helvetica Neue"/>
        <family val="2"/>
      </rPr>
      <t xml:space="preserve"> – A page where you can design you power supply independently from any MDM layout</t>
    </r>
  </si>
  <si>
    <r>
      <t>Master-5000 EU</t>
    </r>
    <r>
      <rPr>
        <sz val="16"/>
        <color theme="0"/>
        <rFont val="Helvetica Neue"/>
        <family val="2"/>
      </rPr>
      <t xml:space="preserve"> – A summary of how your tallied MDM-5000 (EU) modules will impact your electrical service or generator.</t>
    </r>
  </si>
  <si>
    <r>
      <t>EU MDM-5000</t>
    </r>
    <r>
      <rPr>
        <sz val="16"/>
        <color theme="0"/>
        <rFont val="Helvetica Neue"/>
        <family val="2"/>
      </rPr>
      <t xml:space="preserve"> – Supports power calculations for between one and six MDM-5000 (EU) modules connected to a 3-phase electrical service or generator.</t>
    </r>
  </si>
  <si>
    <r>
      <t>EU MDM-832</t>
    </r>
    <r>
      <rPr>
        <sz val="16"/>
        <color theme="0"/>
        <rFont val="Helvetica Neue"/>
        <family val="2"/>
      </rPr>
      <t xml:space="preserve"> – Supports power calculations for one MDM-832 (EU) module.</t>
    </r>
  </si>
  <si>
    <r>
      <t>Master-5000 US</t>
    </r>
    <r>
      <rPr>
        <sz val="16"/>
        <color theme="0"/>
        <rFont val="Helvetica Neue"/>
        <family val="2"/>
      </rPr>
      <t xml:space="preserve"> – A summary of how your tallied MDM-5000 (US) modules will impact your electrical service or generator.</t>
    </r>
  </si>
  <si>
    <r>
      <t>US MDM-5000</t>
    </r>
    <r>
      <rPr>
        <sz val="16"/>
        <color theme="0"/>
        <rFont val="Helvetica Neue"/>
        <family val="2"/>
      </rPr>
      <t xml:space="preserve"> – Supports power calculations for between one and six MDM-5000 (US) modules connected to a 3-phase electrical service or generator.</t>
    </r>
  </si>
  <si>
    <r>
      <t>US MDM-832</t>
    </r>
    <r>
      <rPr>
        <sz val="16"/>
        <color theme="0"/>
        <rFont val="Helvetica Neue"/>
        <family val="2"/>
      </rPr>
      <t xml:space="preserve"> – Supports power calculations for one MDM-832 (US) module.</t>
    </r>
  </si>
  <si>
    <t>The MDM Calculator is not intended to convey information regarding MDM-5000 or MDM-832 schematics, weights and dimensions, cabling options, or cabling hookup. For information about these items, please visit the MDM-5000 and MDM-832 product pages at www.meyersound.com.</t>
  </si>
  <si>
    <t>Tips Before Beginning</t>
  </si>
  <si>
    <t>• Editable cells have a white background.</t>
  </si>
  <si>
    <t>• Power is distributed across 6 alternating current (AC) output branches for each MDM-5000, each with its own breaker.</t>
  </si>
  <si>
    <t>• Power is distributed across 2 alternating current (AC) output branches for each MDM-832, each with its own breaker.</t>
  </si>
  <si>
    <t>• MDM Module pages and Master pages are formatted to print an MDM module per sheet of paper.</t>
  </si>
  <si>
    <t>• Any changes to voltage values should represent the inlet voltage of the MDM modules. Voltage should be measured at the MDM module inlets, not the electrical service itself. The service provider is responsible for compensating for voltage loss at the source.</t>
  </si>
  <si>
    <t>• Output branch warnings are displayed using a colored background. For colorblind users, please refer the units cell to the right of the value cell, as the units will simultaneously change to "&lt; Over" when exceeding limits.</t>
  </si>
  <si>
    <t>MDM-5000 Instructions</t>
  </si>
  <si>
    <t>1. Launch the MDM Calculator in Microsoft Excel and navigate to either the EU MDM-5000 or US MDM-5000  sheet.</t>
  </si>
  <si>
    <t xml:space="preserve">2. In the upper right hand corner, enter the power cable gauge of your Socapex cable and PowerCON fan-outs. </t>
  </si>
  <si>
    <r>
      <rPr>
        <b/>
        <sz val="16"/>
        <color theme="0"/>
        <rFont val="Helvetica Neue"/>
        <family val="2"/>
      </rPr>
      <t xml:space="preserve">Note: </t>
    </r>
    <r>
      <rPr>
        <i/>
        <sz val="16"/>
        <color theme="0"/>
        <rFont val="Helvetica Neue"/>
        <family val="2"/>
      </rPr>
      <t>Power cables purchased from Meyer Sound are 2.5mm</t>
    </r>
    <r>
      <rPr>
        <i/>
        <vertAlign val="superscript"/>
        <sz val="16"/>
        <color theme="0"/>
        <rFont val="Helvetica Neue"/>
        <family val="2"/>
      </rPr>
      <t>2</t>
    </r>
    <r>
      <rPr>
        <i/>
        <sz val="16"/>
        <color theme="0"/>
        <rFont val="Helvetica Neue"/>
        <family val="2"/>
      </rPr>
      <t xml:space="preserve"> (EU) or 12awg (US).</t>
    </r>
  </si>
  <si>
    <t>3. For each AC output branch, select a loudspeaker model from the drop-down list. By using the two available cells, up to two different loudspeaker models can be selected per branch.</t>
  </si>
  <si>
    <r>
      <rPr>
        <b/>
        <sz val="16"/>
        <color theme="0"/>
        <rFont val="Helvetica Neue"/>
        <family val="2"/>
      </rPr>
      <t>Note:</t>
    </r>
    <r>
      <rPr>
        <i/>
        <sz val="16"/>
        <color theme="0"/>
        <rFont val="Helvetica Neue"/>
        <family val="2"/>
      </rPr>
      <t xml:space="preserve"> Some Meyer Sound loudspeaker products, including Legacy loudspeakers, IntelligentDC (48V) loudspeakers, and their respective power supply, the MPS-488HP, are not included in the MDM Calculator.</t>
    </r>
  </si>
  <si>
    <r>
      <rPr>
        <b/>
        <sz val="16"/>
        <color theme="0"/>
        <rFont val="Helvetica Neue"/>
        <family val="2"/>
      </rPr>
      <t>Note:</t>
    </r>
    <r>
      <rPr>
        <i/>
        <sz val="16"/>
        <color theme="0"/>
        <rFont val="Helvetica Neue"/>
        <family val="2"/>
      </rPr>
      <t xml:space="preserve"> MDM-832 can be connected as "loudspeaker types". This will deactivate the selected MDM-832 from the master page, remove the 30% safety factor added on the MDM-832 inlet, and apply the 30% safety factory to the MDM-5000 inlet. The MDM-5000 outlet breaker is rated lower than the MDM-832 inlet.</t>
    </r>
  </si>
  <si>
    <t>4. For each AC output branch, enter the quantity of loudspeakers in the cell adjacent to each loudspeaker model.</t>
  </si>
  <si>
    <r>
      <rPr>
        <b/>
        <sz val="16"/>
        <color theme="0"/>
        <rFont val="Helvetica Neue"/>
        <family val="2"/>
      </rPr>
      <t>Note:</t>
    </r>
    <r>
      <rPr>
        <i/>
        <sz val="16"/>
        <color theme="0"/>
        <rFont val="Helvetica Neue"/>
        <family val="2"/>
      </rPr>
      <t xml:space="preserve"> Users can use looping AC outputs, included in most Meyer Sound loudspeakers, to drive multiple units of the same loudspeaker model from a single AC output branch. LEO, LYON, and 1100-LFC loudspeakers do not have looping outputs.</t>
    </r>
  </si>
  <si>
    <t>5. In the cell below the loudspeaker model, enter the total power cable length, including fan-outs. If looping AC outputs between multiple loudspeakers on a single AC output branch, the total power cable length should be measured to the last loudspeaker in the chain.</t>
  </si>
  <si>
    <t xml:space="preserve">6. Verify the status of your configuration, shown on the right hand side of the sheet. </t>
  </si>
  <si>
    <t>a. Configurations within the operating range of the MDM-5000 breakers will display “OK” in green.</t>
  </si>
  <si>
    <t>b. Configurations outside of the operating range of the MDM-5000 breakers will display “NO!” in red. Do not use these configurations.</t>
  </si>
  <si>
    <t>c. Configurations within the operating range of the MDM-5000 breakers and outside of tolerances set forth by UL will display “OK Not UL” in yellow. Although Meyer Sound cannot endorse using these configurations, they will not trip the MDM-5000 breakers.</t>
  </si>
  <si>
    <t>MDM-832 Instructions</t>
  </si>
  <si>
    <t>• MDM-832 instructions are similar to those of the MDM-5000.</t>
  </si>
  <si>
    <r>
      <t xml:space="preserve">• </t>
    </r>
    <r>
      <rPr>
        <sz val="16"/>
        <color theme="0"/>
        <rFont val="Helvetica Neue"/>
        <family val="2"/>
      </rPr>
      <t>Each set of four outputs on the MDM-832 cannot drive a combined load that exceeds the breaker rating. If the “Output Load Breaker MLTC” cell displays “&lt;OVER!” then the corresponding individual outputs are displayed in orange.</t>
    </r>
  </si>
  <si>
    <r>
      <t xml:space="preserve">• </t>
    </r>
    <r>
      <rPr>
        <sz val="16"/>
        <color theme="0"/>
        <rFont val="Helvetica Neue"/>
        <family val="2"/>
      </rPr>
      <t xml:space="preserve">An MDM-832 EU module can be connected as "loudspeaker types" to an MDM-5000 EU Module. This will deactivate the selected MDM-832 EU from the EU Master page, and also remove the 30% safety factor added on the inlet of the MDM-832 that will be now applied on the MDM-5000 EU inlet. 
</t>
    </r>
    <r>
      <rPr>
        <b/>
        <sz val="16"/>
        <color theme="0"/>
        <rFont val="Helvetica Neue"/>
        <family val="2"/>
      </rPr>
      <t/>
    </r>
  </si>
  <si>
    <r>
      <t xml:space="preserve">Note 1: </t>
    </r>
    <r>
      <rPr>
        <i/>
        <sz val="16"/>
        <color theme="0"/>
        <rFont val="Helvetica Neue"/>
        <family val="2"/>
      </rPr>
      <t>This only applies to EU Modules. US connectivity will be added in a later version of this document.</t>
    </r>
  </si>
  <si>
    <r>
      <t xml:space="preserve">Note 2: </t>
    </r>
    <r>
      <rPr>
        <i/>
        <sz val="16"/>
        <color theme="0"/>
        <rFont val="Helvetica Neue"/>
        <family val="2"/>
      </rPr>
      <t>The MDM-5000 EU Outlet breaker is rated lower than the MDM-832 EU Inlet.</t>
    </r>
  </si>
  <si>
    <t>Master Pages Instructions</t>
  </si>
  <si>
    <t>• The Master pages display the total electrical demand from a sum of the MDM modules on the MDM-5000 and MDM-832 pages.</t>
  </si>
  <si>
    <t>• The voltage of the entire distribution can be changed here. This voltage value should represent the inlet voltage of the MDM modules.</t>
  </si>
  <si>
    <r>
      <rPr>
        <b/>
        <sz val="16"/>
        <color theme="0"/>
        <rFont val="Helvetica Neue"/>
        <family val="2"/>
      </rPr>
      <t>Note:</t>
    </r>
    <r>
      <rPr>
        <sz val="16"/>
        <color theme="0"/>
        <rFont val="Helvetica Neue"/>
        <family val="2"/>
      </rPr>
      <t xml:space="preserve"> V</t>
    </r>
    <r>
      <rPr>
        <i/>
        <sz val="16"/>
        <color theme="0"/>
        <rFont val="Helvetica Neue"/>
        <family val="2"/>
      </rPr>
      <t>oltage should be measured at the MDM-5000 module inlets, not the electrical service itself. The service provider is responsible for compensating for voltage loss at the source.</t>
    </r>
  </si>
  <si>
    <t>• The "Amount" cell allows users to multiply the configuration of a particular MDM module so that identical configurations do not need to be entered multiple times on the MDM Module pages.</t>
  </si>
  <si>
    <t>• On the "Master-5000 EU" page, the user must specify the phase of power to which the MDM-832 (single-phase) is connected.</t>
  </si>
  <si>
    <t>• The Warning cell in the top right reports if a part of the MDM module configuration is within or out of limits.</t>
  </si>
  <si>
    <t>• Inlet voltage values for each MDM module are listed below the Master page graphics.</t>
  </si>
  <si>
    <t>EU Master page: Warnings are displayed in the cells to the far right of the module numbers.</t>
  </si>
  <si>
    <t>US Master page: Warnings are displayed as a color change of the module number.</t>
  </si>
  <si>
    <t>Limitations &amp; Warnings</t>
  </si>
  <si>
    <t>• EU inlet Voltage : 210 V to 250 V</t>
  </si>
  <si>
    <t>• US Inlet Voltage : 95V to 130V</t>
  </si>
  <si>
    <t>• If the Warning Cell turns Red and displays "NO !", do not use the configuration.</t>
  </si>
  <si>
    <t>• For the MDM-5000 Module, the Warning cell will turn orange if the configuration exceeds the UL recommendations.</t>
  </si>
  <si>
    <r>
      <rPr>
        <b/>
        <sz val="16"/>
        <color theme="0"/>
        <rFont val="Helvetica Neue"/>
        <family val="2"/>
      </rPr>
      <t>Note:</t>
    </r>
    <r>
      <rPr>
        <sz val="16"/>
        <color theme="0"/>
        <rFont val="Helvetica Neue"/>
        <family val="2"/>
      </rPr>
      <t xml:space="preserve"> </t>
    </r>
    <r>
      <rPr>
        <i/>
        <sz val="16"/>
        <color theme="0"/>
        <rFont val="Helvetica Neue"/>
        <family val="2"/>
      </rPr>
      <t>The UL warning will be added to the MDM-832 US Module in a later version of this document.</t>
    </r>
  </si>
  <si>
    <t xml:space="preserve">Print for </t>
  </si>
  <si>
    <t>EU</t>
  </si>
  <si>
    <t>MDM - 5000</t>
  </si>
  <si>
    <t>Line Voltage</t>
  </si>
  <si>
    <t>V</t>
  </si>
  <si>
    <t>Single Speaker EU</t>
  </si>
  <si>
    <t>Volts</t>
  </si>
  <si>
    <t>mm2</t>
  </si>
  <si>
    <t>kVA</t>
  </si>
  <si>
    <t>MLTC</t>
  </si>
  <si>
    <t>Burst</t>
  </si>
  <si>
    <t>Peak</t>
  </si>
  <si>
    <t>Cable Loss</t>
  </si>
  <si>
    <t>BTU / h</t>
  </si>
  <si>
    <t>@ 25 % Max continuous power</t>
  </si>
  <si>
    <t>Safety factor :</t>
  </si>
  <si>
    <t>A RMS</t>
  </si>
  <si>
    <t>A Pk</t>
  </si>
  <si>
    <t>Avoid exceeding 10 %</t>
  </si>
  <si>
    <t>Type</t>
  </si>
  <si>
    <t>Amount</t>
  </si>
  <si>
    <t>Cable length</t>
  </si>
  <si>
    <t>% loss</t>
  </si>
  <si>
    <t>Loudspeaker 1</t>
  </si>
  <si>
    <t>-</t>
  </si>
  <si>
    <t>Ultra-X40</t>
  </si>
  <si>
    <t>Loudspeaker 2</t>
  </si>
  <si>
    <t>None</t>
  </si>
  <si>
    <t>Loudspeaker 3</t>
  </si>
  <si>
    <t>Loudspeaker 4</t>
  </si>
  <si>
    <t>Loudspeaker 5</t>
  </si>
  <si>
    <t>Loudspeaker 6</t>
  </si>
  <si>
    <t>Loudspeaker 7</t>
  </si>
  <si>
    <t>Loudspeaker 8</t>
  </si>
  <si>
    <t>Loudspeaker 9</t>
  </si>
  <si>
    <t>Loudspeaker 10</t>
  </si>
  <si>
    <t>Loudspeaker 11</t>
  </si>
  <si>
    <t>Loudspeaker 12</t>
  </si>
  <si>
    <t>Loudspeaker 13</t>
  </si>
  <si>
    <t>Loudspeaker 14</t>
  </si>
  <si>
    <t>Loudspeaker 15</t>
  </si>
  <si>
    <t>Loudspeaker 16</t>
  </si>
  <si>
    <t>Loudspeaker 17</t>
  </si>
  <si>
    <t>Loudspeaker 18</t>
  </si>
  <si>
    <t>Loudspeaker 19</t>
  </si>
  <si>
    <t>Loudspeaker 20</t>
  </si>
  <si>
    <t>Loudspeaker 21</t>
  </si>
  <si>
    <t>Loudspeaker 22</t>
  </si>
  <si>
    <t>Loudspeaker 23</t>
  </si>
  <si>
    <t>Loudspeaker 24</t>
  </si>
  <si>
    <t>Loudspeaker 25</t>
  </si>
  <si>
    <t>Loudspeaker 26</t>
  </si>
  <si>
    <t>Loudspeaker 27</t>
  </si>
  <si>
    <t>Loudspeaker 28</t>
  </si>
  <si>
    <t>Loudspeaker 29</t>
  </si>
  <si>
    <t>Loudspeaker 30</t>
  </si>
  <si>
    <t>Meyer Sound Laboratories, Inc. Berkeley, California, USA                                 www.meyersound.com</t>
  </si>
  <si>
    <t>Single Speaker US</t>
  </si>
  <si>
    <t>AWG</t>
  </si>
  <si>
    <t>Master 5000 EU</t>
  </si>
  <si>
    <t>Total</t>
  </si>
  <si>
    <t>MASTER</t>
  </si>
  <si>
    <t>Inlet</t>
  </si>
  <si>
    <t>L 1</t>
  </si>
  <si>
    <t>L 2</t>
  </si>
  <si>
    <t>L 3</t>
  </si>
  <si>
    <t>L1</t>
  </si>
  <si>
    <t>L2</t>
  </si>
  <si>
    <t>L3</t>
  </si>
  <si>
    <t xml:space="preserve">MLTC </t>
  </si>
  <si>
    <t>Total Burst</t>
  </si>
  <si>
    <t>Total Peak</t>
  </si>
  <si>
    <t>MLTC
Safety Factor</t>
  </si>
  <si>
    <t>Generator 
      Power :</t>
  </si>
  <si>
    <t>Flags</t>
  </si>
  <si>
    <t>PkV-832-Flag</t>
  </si>
  <si>
    <t>MLTC / Burst / Peak</t>
  </si>
  <si>
    <t>MLTC to Peak ratio</t>
  </si>
  <si>
    <t>MDM- 832 #1</t>
  </si>
  <si>
    <t>Connected
to</t>
  </si>
  <si>
    <t>Active ?</t>
  </si>
  <si>
    <t>MDM- 832 #2</t>
  </si>
  <si>
    <t>MDM- 832 #3</t>
  </si>
  <si>
    <t>MDM- 832 #4</t>
  </si>
  <si>
    <t>MDM- 832 #5</t>
  </si>
  <si>
    <t>MDM- 832 #6</t>
  </si>
  <si>
    <t>832 #1 EU</t>
  </si>
  <si>
    <t>832 #2 EU</t>
  </si>
  <si>
    <t>832 #3 EU</t>
  </si>
  <si>
    <t>832 #4 EU</t>
  </si>
  <si>
    <t>832 #5 EU</t>
  </si>
  <si>
    <t>832 #6 EU</t>
  </si>
  <si>
    <t>Input Voltage</t>
  </si>
  <si>
    <t>Generator load</t>
  </si>
  <si>
    <t>Cable Gauge</t>
  </si>
  <si>
    <t>832 Flag</t>
  </si>
  <si>
    <t>kVa</t>
  </si>
  <si>
    <t>&lt;  Change         
     Safety Factor 
     in EU Master</t>
  </si>
  <si>
    <t>EU -MDM-5000</t>
  </si>
  <si>
    <t>Burst RMS</t>
  </si>
  <si>
    <t>Max Inst Pk</t>
  </si>
  <si>
    <t>Branch RMS</t>
  </si>
  <si>
    <t>Branch Pk</t>
  </si>
  <si>
    <t>Branch</t>
  </si>
  <si>
    <t>Branch Loss %</t>
  </si>
  <si>
    <t>Loudspeaker</t>
  </si>
  <si>
    <t>LINA</t>
  </si>
  <si>
    <t>750-LFC</t>
  </si>
  <si>
    <t>Sum</t>
  </si>
  <si>
    <t>m</t>
  </si>
  <si>
    <t>Use  total length including jumpers to the last speaker in the chain</t>
  </si>
  <si>
    <t>MLTC RMS</t>
  </si>
  <si>
    <t>Est. Cable Res</t>
  </si>
  <si>
    <t>Ohms</t>
  </si>
  <si>
    <t>Unloaded Vpk</t>
  </si>
  <si>
    <t>V Pk</t>
  </si>
  <si>
    <t>EU-5000</t>
  </si>
  <si>
    <t>B1</t>
  </si>
  <si>
    <t>B2</t>
  </si>
  <si>
    <t>B3</t>
  </si>
  <si>
    <t>B4</t>
  </si>
  <si>
    <t>B5</t>
  </si>
  <si>
    <t>B6</t>
  </si>
  <si>
    <t>pk V loss</t>
  </si>
  <si>
    <t>Max available</t>
  </si>
  <si>
    <t>Resulting Vpk</t>
  </si>
  <si>
    <t>Max Pk</t>
  </si>
  <si>
    <t>% pk V loss</t>
  </si>
  <si>
    <t>MLTC %</t>
  </si>
  <si>
    <t>Above %</t>
  </si>
  <si>
    <t>Value</t>
  </si>
  <si>
    <t>Warn</t>
  </si>
  <si>
    <t>Pk % max</t>
  </si>
  <si>
    <t>Pk %</t>
  </si>
  <si>
    <t>Pk % inRange</t>
  </si>
  <si>
    <t>Pk % Exceed</t>
  </si>
  <si>
    <t>LEOPARD</t>
  </si>
  <si>
    <t>900-LFC</t>
  </si>
  <si>
    <t>Leopard</t>
  </si>
  <si>
    <t>Line</t>
  </si>
  <si>
    <t>Out Breaker 1</t>
  </si>
  <si>
    <t>Out Breaker 2</t>
  </si>
  <si>
    <t>&lt; Change         
    Safety Factor 
    in EU Master</t>
  </si>
  <si>
    <r>
      <t>A</t>
    </r>
    <r>
      <rPr>
        <sz val="9"/>
        <rFont val="Calibri"/>
        <family val="2"/>
        <scheme val="minor"/>
      </rPr>
      <t xml:space="preserve"> RMS</t>
    </r>
  </si>
  <si>
    <t>EU -MDM-832</t>
  </si>
  <si>
    <t>MJF-208</t>
  </si>
  <si>
    <t>MJF-210</t>
  </si>
  <si>
    <t>EU-832</t>
  </si>
  <si>
    <t>Breaker 1</t>
  </si>
  <si>
    <t>Breaker 2</t>
  </si>
  <si>
    <t>B7</t>
  </si>
  <si>
    <t>B8</t>
  </si>
  <si>
    <t>X</t>
  </si>
  <si>
    <t>Y</t>
  </si>
  <si>
    <t>Z</t>
  </si>
  <si>
    <t>Master US-MDM-5000</t>
  </si>
  <si>
    <t>All</t>
  </si>
  <si>
    <t>UL</t>
  </si>
  <si>
    <t>X A</t>
  </si>
  <si>
    <t>Y A</t>
  </si>
  <si>
    <t>Z A</t>
  </si>
  <si>
    <t>X B</t>
  </si>
  <si>
    <t>Y B</t>
  </si>
  <si>
    <t>Z B</t>
  </si>
  <si>
    <t>Apparent</t>
  </si>
  <si>
    <t>VA</t>
  </si>
  <si>
    <t>Real Power</t>
  </si>
  <si>
    <t>Watts</t>
  </si>
  <si>
    <t>MLTC In</t>
  </si>
  <si>
    <t>Total Outlets Balance</t>
  </si>
  <si>
    <t>Not connected</t>
  </si>
  <si>
    <t>Resulting Voltage</t>
  </si>
  <si>
    <t>Wye</t>
  </si>
  <si>
    <t>832 #1 US</t>
  </si>
  <si>
    <t>832 #2 US</t>
  </si>
  <si>
    <t>832 #3 US</t>
  </si>
  <si>
    <t>832 #4 US</t>
  </si>
  <si>
    <t>832 #5 US</t>
  </si>
  <si>
    <t>832 #6 US</t>
  </si>
  <si>
    <t>X upper</t>
  </si>
  <si>
    <t>Y upper</t>
  </si>
  <si>
    <t>Z upper</t>
  </si>
  <si>
    <t>X lower</t>
  </si>
  <si>
    <t>Y lower</t>
  </si>
  <si>
    <t>Z lower</t>
  </si>
  <si>
    <t>RE</t>
  </si>
  <si>
    <t>Upper</t>
  </si>
  <si>
    <t>Lower</t>
  </si>
  <si>
    <t>IM</t>
  </si>
  <si>
    <t>MLTC A RMS</t>
  </si>
  <si>
    <t>RE+IM</t>
  </si>
  <si>
    <t>Apparent Power</t>
  </si>
  <si>
    <t>A</t>
  </si>
  <si>
    <t>MAG</t>
  </si>
  <si>
    <t>US -MDM-5000</t>
  </si>
  <si>
    <t>#1</t>
  </si>
  <si>
    <t>Phase</t>
  </si>
  <si>
    <t>1 - X up / Y up</t>
  </si>
  <si>
    <t>2 - Y up / Z up</t>
  </si>
  <si>
    <t>3 - Z up / X up</t>
  </si>
  <si>
    <t>4 - X low / Y low</t>
  </si>
  <si>
    <t>5 - Y low / Z low</t>
  </si>
  <si>
    <t>6 - Z low / X low</t>
  </si>
  <si>
    <t>Branch ON / OFF</t>
  </si>
  <si>
    <t>On</t>
  </si>
  <si>
    <t>Power</t>
  </si>
  <si>
    <t>RE + IM</t>
  </si>
  <si>
    <t>ft</t>
  </si>
  <si>
    <t>- (RE + IM)</t>
  </si>
  <si>
    <r>
      <t xml:space="preserve">V </t>
    </r>
    <r>
      <rPr>
        <sz val="10"/>
        <color theme="1"/>
        <rFont val="Calibri"/>
        <family val="2"/>
        <scheme val="minor"/>
      </rPr>
      <t>RMS</t>
    </r>
  </si>
  <si>
    <t>C</t>
  </si>
  <si>
    <t>US-5000 #1</t>
  </si>
  <si>
    <t>MAX UL</t>
  </si>
  <si>
    <t>Above UL %</t>
  </si>
  <si>
    <t>UL Value</t>
  </si>
  <si>
    <t>US-5000 #2</t>
  </si>
  <si>
    <t>US-5000 #3</t>
  </si>
  <si>
    <t>US-5000 #4</t>
  </si>
  <si>
    <t>US-5000 #5</t>
  </si>
  <si>
    <t>US-5000 #6</t>
  </si>
  <si>
    <r>
      <t>MLTC RMS</t>
    </r>
    <r>
      <rPr>
        <sz val="11"/>
        <color theme="1"/>
        <rFont val="Calibri"/>
        <family val="2"/>
        <scheme val="minor"/>
      </rPr>
      <t xml:space="preserve"> +30%</t>
    </r>
  </si>
  <si>
    <t>US -MDM-832</t>
  </si>
  <si>
    <t>US-832</t>
  </si>
  <si>
    <t>© 2021</t>
  </si>
  <si>
    <t>File Version</t>
  </si>
  <si>
    <t>06.257.005.01 C</t>
  </si>
  <si>
    <t>Sheet foot</t>
  </si>
  <si>
    <t>List</t>
  </si>
  <si>
    <t>Safety voltage range</t>
  </si>
  <si>
    <t>Operational Range</t>
  </si>
  <si>
    <t>Max Inst. Pk</t>
  </si>
  <si>
    <t>Limitations</t>
  </si>
  <si>
    <t>OK</t>
  </si>
  <si>
    <t>-- LEO FAMILY --</t>
  </si>
  <si>
    <t>US-5000</t>
  </si>
  <si>
    <t>LEO-M</t>
  </si>
  <si>
    <t>MLTC IN</t>
  </si>
  <si>
    <t>LYON</t>
  </si>
  <si>
    <t>MLTC Out</t>
  </si>
  <si>
    <t>Pk Out</t>
  </si>
  <si>
    <t>-- Ultra-X Series --</t>
  </si>
  <si>
    <t>Ultra-X20</t>
  </si>
  <si>
    <t>-- Low Frequency Control --</t>
  </si>
  <si>
    <t>1100-LFC</t>
  </si>
  <si>
    <t>VLFC</t>
  </si>
  <si>
    <t>-- Subwoofers --</t>
  </si>
  <si>
    <t>USW-112P</t>
  </si>
  <si>
    <t>USW-210P</t>
  </si>
  <si>
    <t>500-HP</t>
  </si>
  <si>
    <t>No data</t>
  </si>
  <si>
    <t>600-HP</t>
  </si>
  <si>
    <t>650-P</t>
  </si>
  <si>
    <t>700-HP</t>
  </si>
  <si>
    <t>UMS-1P</t>
  </si>
  <si>
    <t>USW-1P</t>
  </si>
  <si>
    <t>-- JM Series --</t>
  </si>
  <si>
    <t>JM-1P</t>
  </si>
  <si>
    <t>-- M Series --</t>
  </si>
  <si>
    <t>Cable Gauge EU</t>
  </si>
  <si>
    <t>MILO</t>
  </si>
  <si>
    <t>MICA</t>
  </si>
  <si>
    <t>M'elodie</t>
  </si>
  <si>
    <t>MINA</t>
  </si>
  <si>
    <t>M3D</t>
  </si>
  <si>
    <t>Cable Gauge US</t>
  </si>
  <si>
    <t>M3D-Sub</t>
  </si>
  <si>
    <t>M2D</t>
  </si>
  <si>
    <t>M2D-sub</t>
  </si>
  <si>
    <t>M1D</t>
  </si>
  <si>
    <t>M1D-Sub</t>
  </si>
  <si>
    <t>-- Ultra Series --</t>
  </si>
  <si>
    <t>UPA-1P</t>
  </si>
  <si>
    <t>UPJ-1P</t>
  </si>
  <si>
    <t>X-Y</t>
  </si>
  <si>
    <t>UPJunior</t>
  </si>
  <si>
    <t>Y-Z</t>
  </si>
  <si>
    <t>UPM-1P</t>
  </si>
  <si>
    <t>Z-X</t>
  </si>
  <si>
    <t>UPQ-D1</t>
  </si>
  <si>
    <t>UPQ-1P</t>
  </si>
  <si>
    <t>-- Stage Monitors --</t>
  </si>
  <si>
    <t>Inlet ON</t>
  </si>
  <si>
    <t>MJF-212A</t>
  </si>
  <si>
    <t>Off</t>
  </si>
  <si>
    <t>Inlet OFF</t>
  </si>
  <si>
    <t>UM-1P</t>
  </si>
  <si>
    <t>-- Cinema Series --</t>
  </si>
  <si>
    <t>Amie</t>
  </si>
  <si>
    <t>Amie-Sub</t>
  </si>
  <si>
    <t>X-400C</t>
  </si>
  <si>
    <t>X-800C</t>
  </si>
  <si>
    <t>-- Column Array --</t>
  </si>
  <si>
    <t>CAL 32</t>
  </si>
  <si>
    <t>CAL 64</t>
  </si>
  <si>
    <t>CAL 96</t>
  </si>
  <si>
    <t>-- Legacy --</t>
  </si>
  <si>
    <t>MSL-4</t>
  </si>
  <si>
    <t>-- MDM-832 EU --</t>
  </si>
  <si>
    <t>-- MDM-832 US --</t>
  </si>
  <si>
    <t>US</t>
  </si>
  <si>
    <t>Connected here</t>
  </si>
  <si>
    <t>832 #4  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</si>
</sst>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 \V"/>
    <numFmt numFmtId="165" formatCode="0.0"/>
    <numFmt numFmtId="166" formatCode="#,##0.0"/>
    <numFmt numFmtId="167" formatCode="0.000"/>
    <numFmt numFmtId="168" formatCode="[$-F400]h:mm:ss\ AM/PM"/>
    <numFmt numFmtId="169" formatCode="0\ &quot; m&quot;"/>
    <numFmt numFmtId="170" formatCode="0.0\ &quot; %&quot;"/>
    <numFmt numFmtId="171" formatCode="0\ &quot; ft&quot;"/>
    <numFmt numFmtId="172" formatCode="0&quot; %&quot;"/>
    <numFmt numFmtId="173" formatCode="0.0\ &quot;kVA&quot;"/>
  </numFmts>
  <fonts count="84" x14ac:knownFonts="1">
    <font>
      <sz val="12"/>
      <color theme="1"/>
      <name val="Calibri"/>
      <family val="2"/>
      <scheme val="minor"/>
    </font>
    <font>
      <sz val="12"/>
      <color rgb="FF000000"/>
      <name val="Calibri"/>
      <family val="2"/>
      <scheme val="minor"/>
    </font>
    <font>
      <u/>
      <sz val="12"/>
      <color theme="10"/>
      <name val="Calibri"/>
      <family val="2"/>
      <scheme val="minor"/>
    </font>
    <font>
      <u/>
      <sz val="12"/>
      <color theme="11"/>
      <name val="Calibri"/>
      <family val="2"/>
      <scheme val="minor"/>
    </font>
    <font>
      <sz val="12"/>
      <color theme="0"/>
      <name val="Calibri"/>
      <family val="2"/>
      <scheme val="minor"/>
    </font>
    <font>
      <sz val="8"/>
      <name val="Calibri"/>
      <family val="2"/>
      <scheme val="minor"/>
    </font>
    <font>
      <sz val="11"/>
      <color theme="1"/>
      <name val="Calibri"/>
      <family val="2"/>
      <scheme val="minor"/>
    </font>
    <font>
      <sz val="10"/>
      <color theme="1"/>
      <name val="Calibri"/>
      <family val="2"/>
      <scheme val="minor"/>
    </font>
    <font>
      <b/>
      <i/>
      <sz val="16"/>
      <color theme="1"/>
      <name val="Calibri"/>
      <family val="2"/>
      <scheme val="minor"/>
    </font>
    <font>
      <i/>
      <sz val="8"/>
      <name val="Calibri"/>
      <family val="2"/>
      <scheme val="minor"/>
    </font>
    <font>
      <b/>
      <sz val="36"/>
      <name val="Calibri"/>
      <family val="2"/>
      <scheme val="minor"/>
    </font>
    <font>
      <b/>
      <i/>
      <sz val="12"/>
      <color theme="0"/>
      <name val="Calibri"/>
      <family val="2"/>
      <scheme val="minor"/>
    </font>
    <font>
      <sz val="12"/>
      <name val="Calibri"/>
      <family val="2"/>
      <scheme val="minor"/>
    </font>
    <font>
      <b/>
      <i/>
      <sz val="16"/>
      <color theme="0"/>
      <name val="Calibri"/>
      <family val="2"/>
      <scheme val="minor"/>
    </font>
    <font>
      <sz val="11"/>
      <name val="Calibri"/>
      <family val="2"/>
      <scheme val="minor"/>
    </font>
    <font>
      <sz val="9"/>
      <name val="Calibri"/>
      <family val="2"/>
      <scheme val="minor"/>
    </font>
    <font>
      <sz val="14"/>
      <color theme="1"/>
      <name val="Calibri"/>
      <family val="2"/>
      <scheme val="minor"/>
    </font>
    <font>
      <sz val="48"/>
      <color theme="0"/>
      <name val="Calibri"/>
      <family val="2"/>
      <scheme val="minor"/>
    </font>
    <font>
      <b/>
      <sz val="18"/>
      <name val="Calibri"/>
      <family val="2"/>
      <scheme val="minor"/>
    </font>
    <font>
      <sz val="14"/>
      <color theme="0"/>
      <name val="Calibri"/>
      <family val="2"/>
      <scheme val="minor"/>
    </font>
    <font>
      <sz val="20"/>
      <color theme="0"/>
      <name val="Calibri"/>
      <family val="2"/>
      <scheme val="minor"/>
    </font>
    <font>
      <b/>
      <sz val="48"/>
      <color theme="0"/>
      <name val="Calibri"/>
      <family val="2"/>
      <scheme val="minor"/>
    </font>
    <font>
      <sz val="22"/>
      <color theme="0"/>
      <name val="Calibri"/>
      <family val="2"/>
      <scheme val="minor"/>
    </font>
    <font>
      <sz val="26"/>
      <color theme="0"/>
      <name val="Calibri"/>
      <family val="2"/>
      <scheme val="minor"/>
    </font>
    <font>
      <sz val="36"/>
      <color theme="0"/>
      <name val="Calibri"/>
      <family val="2"/>
      <scheme val="minor"/>
    </font>
    <font>
      <sz val="20"/>
      <color theme="1"/>
      <name val="Calibri"/>
      <family val="2"/>
      <scheme val="minor"/>
    </font>
    <font>
      <b/>
      <i/>
      <sz val="12"/>
      <color theme="1"/>
      <name val="Calibri"/>
      <family val="2"/>
      <scheme val="minor"/>
    </font>
    <font>
      <b/>
      <i/>
      <sz val="12"/>
      <name val="Calibri"/>
      <family val="2"/>
      <scheme val="minor"/>
    </font>
    <font>
      <i/>
      <sz val="12"/>
      <color theme="1"/>
      <name val="Calibri"/>
      <family val="2"/>
      <scheme val="minor"/>
    </font>
    <font>
      <i/>
      <sz val="12"/>
      <name val="Calibri"/>
      <family val="2"/>
      <scheme val="minor"/>
    </font>
    <font>
      <sz val="20"/>
      <name val="Calibri"/>
      <family val="2"/>
      <scheme val="minor"/>
    </font>
    <font>
      <sz val="28"/>
      <color theme="0"/>
      <name val="Calibri"/>
      <family val="2"/>
      <scheme val="minor"/>
    </font>
    <font>
      <b/>
      <sz val="28"/>
      <color theme="0"/>
      <name val="Calibri"/>
      <family val="2"/>
      <scheme val="minor"/>
    </font>
    <font>
      <sz val="12"/>
      <color rgb="FFFF0000"/>
      <name val="Calibri"/>
      <family val="2"/>
      <scheme val="minor"/>
    </font>
    <font>
      <b/>
      <sz val="14"/>
      <color theme="0"/>
      <name val="Calibri"/>
      <family val="2"/>
      <scheme val="minor"/>
    </font>
    <font>
      <b/>
      <sz val="20"/>
      <color theme="1" tint="0.34998626667073579"/>
      <name val="Calibri"/>
      <family val="2"/>
      <scheme val="minor"/>
    </font>
    <font>
      <sz val="14"/>
      <color rgb="FFFF0000"/>
      <name val="Calibri"/>
      <family val="2"/>
      <scheme val="minor"/>
    </font>
    <font>
      <sz val="18"/>
      <color theme="0"/>
      <name val="Calibri"/>
      <family val="2"/>
      <scheme val="minor"/>
    </font>
    <font>
      <b/>
      <sz val="24"/>
      <color theme="1" tint="0.24994659260841701"/>
      <name val="Calibri"/>
      <family val="2"/>
      <scheme val="minor"/>
    </font>
    <font>
      <sz val="16"/>
      <color theme="0"/>
      <name val="Calibri"/>
      <family val="2"/>
      <scheme val="minor"/>
    </font>
    <font>
      <sz val="16"/>
      <color theme="1"/>
      <name val="Calibri"/>
      <family val="2"/>
      <scheme val="minor"/>
    </font>
    <font>
      <sz val="36"/>
      <color theme="1" tint="0.249977111117893"/>
      <name val="Calibri"/>
      <family val="2"/>
      <scheme val="minor"/>
    </font>
    <font>
      <b/>
      <sz val="11"/>
      <color theme="0"/>
      <name val="Calibri"/>
      <family val="2"/>
      <scheme val="minor"/>
    </font>
    <font>
      <b/>
      <sz val="16"/>
      <color theme="1"/>
      <name val="Calibri"/>
      <family val="2"/>
      <scheme val="minor"/>
    </font>
    <font>
      <b/>
      <sz val="20"/>
      <color rgb="FF000000"/>
      <name val="Calibri"/>
      <family val="2"/>
      <scheme val="minor"/>
    </font>
    <font>
      <b/>
      <sz val="20"/>
      <color theme="1"/>
      <name val="Calibri"/>
      <family val="2"/>
      <scheme val="minor"/>
    </font>
    <font>
      <b/>
      <sz val="12"/>
      <color theme="0"/>
      <name val="Calibri"/>
      <family val="2"/>
      <scheme val="minor"/>
    </font>
    <font>
      <b/>
      <sz val="20"/>
      <color theme="0"/>
      <name val="Calibri"/>
      <family val="2"/>
      <scheme val="minor"/>
    </font>
    <font>
      <u/>
      <sz val="12"/>
      <color theme="0"/>
      <name val="Calibri"/>
      <family val="2"/>
      <scheme val="minor"/>
    </font>
    <font>
      <sz val="16"/>
      <color theme="1"/>
      <name val="Helvetica Neue"/>
      <family val="2"/>
    </font>
    <font>
      <sz val="16"/>
      <color theme="0"/>
      <name val="Helvetica Neue"/>
      <family val="2"/>
    </font>
    <font>
      <b/>
      <sz val="16"/>
      <color theme="0"/>
      <name val="Helvetica Neue"/>
      <family val="2"/>
    </font>
    <font>
      <i/>
      <sz val="16"/>
      <color theme="0"/>
      <name val="Helvetica Neue"/>
      <family val="2"/>
    </font>
    <font>
      <b/>
      <sz val="18"/>
      <color theme="0"/>
      <name val="Helvetica Neue"/>
      <family val="2"/>
    </font>
    <font>
      <b/>
      <i/>
      <sz val="16"/>
      <color theme="0"/>
      <name val="Helvetica Neue"/>
      <family val="2"/>
    </font>
    <font>
      <i/>
      <vertAlign val="superscript"/>
      <sz val="16"/>
      <color theme="0"/>
      <name val="Helvetica Neue"/>
      <family val="2"/>
    </font>
    <font>
      <b/>
      <sz val="30"/>
      <color theme="0"/>
      <name val="Helvetica Neue"/>
      <family val="2"/>
    </font>
    <font>
      <sz val="11"/>
      <color theme="0"/>
      <name val="Calibri"/>
      <family val="2"/>
      <scheme val="minor"/>
    </font>
    <font>
      <sz val="28"/>
      <color theme="1"/>
      <name val="Calibri"/>
      <family val="2"/>
      <scheme val="minor"/>
    </font>
    <font>
      <sz val="11"/>
      <color theme="1" tint="0.34998626667073579"/>
      <name val="Calibri"/>
      <family val="2"/>
      <scheme val="minor"/>
    </font>
    <font>
      <sz val="28"/>
      <name val="Calibri"/>
      <family val="2"/>
      <scheme val="minor"/>
    </font>
    <font>
      <sz val="12"/>
      <color theme="1" tint="0.34998626667073579"/>
      <name val="Calibri"/>
      <family val="2"/>
      <scheme val="minor"/>
    </font>
    <font>
      <sz val="28"/>
      <color theme="1" tint="0.34998626667073579"/>
      <name val="Calibri"/>
      <family val="2"/>
      <scheme val="minor"/>
    </font>
    <font>
      <sz val="18"/>
      <color theme="1" tint="0.34998626667073579"/>
      <name val="Calibri"/>
      <family val="2"/>
      <scheme val="minor"/>
    </font>
    <font>
      <sz val="14"/>
      <color theme="1" tint="0.34998626667073579"/>
      <name val="Calibri"/>
      <family val="2"/>
      <scheme val="minor"/>
    </font>
    <font>
      <sz val="16"/>
      <color theme="1" tint="0.34998626667073579"/>
      <name val="Calibri"/>
      <family val="2"/>
      <scheme val="minor"/>
    </font>
    <font>
      <sz val="11"/>
      <color rgb="FFFFFFFF"/>
      <name val="Calibri"/>
      <family val="2"/>
      <scheme val="minor"/>
    </font>
    <font>
      <sz val="12"/>
      <color rgb="FFFFFFFF"/>
      <name val="Calibri"/>
      <family val="2"/>
      <scheme val="minor"/>
    </font>
    <font>
      <sz val="11"/>
      <color rgb="FF000000"/>
      <name val="Calibri"/>
      <family val="2"/>
      <scheme val="minor"/>
    </font>
    <font>
      <sz val="20"/>
      <color theme="1" tint="0.249977111117893"/>
      <name val="Calibri"/>
      <family val="2"/>
      <scheme val="minor"/>
    </font>
    <font>
      <sz val="12"/>
      <color theme="1" tint="0.249977111117893"/>
      <name val="Calibri"/>
      <family val="2"/>
      <scheme val="minor"/>
    </font>
    <font>
      <b/>
      <i/>
      <sz val="16"/>
      <color theme="1" tint="0.249977111117893"/>
      <name val="Calibri"/>
      <family val="2"/>
      <scheme val="minor"/>
    </font>
    <font>
      <sz val="18"/>
      <color theme="1"/>
      <name val="Calibri"/>
      <family val="2"/>
      <scheme val="minor"/>
    </font>
    <font>
      <sz val="22"/>
      <color theme="1"/>
      <name val="Calibri"/>
      <family val="2"/>
      <scheme val="minor"/>
    </font>
    <font>
      <b/>
      <sz val="26"/>
      <color theme="1"/>
      <name val="Calibri"/>
      <family val="2"/>
      <scheme val="minor"/>
    </font>
    <font>
      <b/>
      <sz val="22"/>
      <color theme="1"/>
      <name val="Calibri"/>
      <family val="2"/>
      <scheme val="minor"/>
    </font>
    <font>
      <sz val="48"/>
      <color theme="1"/>
      <name val="Calibri"/>
      <family val="2"/>
      <scheme val="minor"/>
    </font>
    <font>
      <u/>
      <sz val="12"/>
      <color theme="1"/>
      <name val="Calibri"/>
      <family val="2"/>
      <scheme val="minor"/>
    </font>
    <font>
      <b/>
      <sz val="12"/>
      <color theme="1"/>
      <name val="Calibri"/>
      <family val="2"/>
      <scheme val="minor"/>
    </font>
    <font>
      <sz val="12"/>
      <color rgb="FF000000"/>
      <name val="Arial"/>
      <family val="2"/>
    </font>
    <font>
      <u/>
      <sz val="12"/>
      <color rgb="FF000000"/>
      <name val="Calibri"/>
      <family val="2"/>
      <scheme val="minor"/>
    </font>
    <font>
      <sz val="16"/>
      <color rgb="FFFFFFFF"/>
      <name val="Calibri"/>
      <family val="2"/>
      <scheme val="minor"/>
    </font>
    <font>
      <sz val="16"/>
      <color theme="1" tint="0.249977111117893"/>
      <name val="Calibri"/>
      <family val="2"/>
      <scheme val="minor"/>
    </font>
    <font>
      <sz val="18"/>
      <color theme="1" tint="0.249977111117893"/>
      <name val="Calibri"/>
      <family val="2"/>
      <scheme val="minor"/>
    </font>
  </fonts>
  <fills count="9">
    <fill>
      <patternFill patternType="none"/>
    </fill>
    <fill>
      <patternFill patternType="gray125"/>
    </fill>
    <fill>
      <patternFill patternType="solid">
        <fgColor theme="1" tint="0.249977111117893"/>
        <bgColor indexed="64"/>
      </patternFill>
    </fill>
    <fill>
      <patternFill patternType="solid">
        <fgColor theme="1"/>
        <bgColor indexed="64"/>
      </patternFill>
    </fill>
    <fill>
      <patternFill patternType="solid">
        <fgColor theme="0" tint="-0.249977111117893"/>
        <bgColor indexed="64"/>
      </patternFill>
    </fill>
    <fill>
      <patternFill patternType="solid">
        <fgColor theme="0"/>
        <bgColor indexed="64"/>
      </patternFill>
    </fill>
    <fill>
      <patternFill patternType="solid">
        <fgColor rgb="FF60DA4C"/>
        <bgColor indexed="64"/>
      </patternFill>
    </fill>
    <fill>
      <patternFill patternType="solid">
        <fgColor rgb="FFFFFFFF"/>
        <bgColor rgb="FF000000"/>
      </patternFill>
    </fill>
    <fill>
      <patternFill patternType="solid">
        <fgColor rgb="FF404040"/>
        <bgColor rgb="FF000000"/>
      </patternFill>
    </fill>
  </fills>
  <borders count="110">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style="thin">
        <color auto="1"/>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thin">
        <color auto="1"/>
      </top>
      <bottom style="thin">
        <color auto="1"/>
      </bottom>
      <diagonal/>
    </border>
    <border>
      <left style="thin">
        <color theme="0"/>
      </left>
      <right style="thin">
        <color auto="1"/>
      </right>
      <top style="thin">
        <color auto="1"/>
      </top>
      <bottom style="thin">
        <color auto="1"/>
      </bottom>
      <diagonal/>
    </border>
    <border>
      <left style="thin">
        <color theme="0"/>
      </left>
      <right style="medium">
        <color auto="1"/>
      </right>
      <top style="thin">
        <color auto="1"/>
      </top>
      <bottom style="thin">
        <color auto="1"/>
      </bottom>
      <diagonal/>
    </border>
    <border>
      <left style="medium">
        <color auto="1"/>
      </left>
      <right style="thin">
        <color theme="0"/>
      </right>
      <top style="thin">
        <color auto="1"/>
      </top>
      <bottom style="thin">
        <color auto="1"/>
      </bottom>
      <diagonal/>
    </border>
    <border>
      <left style="thin">
        <color auto="1"/>
      </left>
      <right style="thin">
        <color theme="0"/>
      </right>
      <top style="thin">
        <color auto="1"/>
      </top>
      <bottom style="thin">
        <color auto="1"/>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diagonal/>
    </border>
    <border>
      <left/>
      <right style="thin">
        <color theme="0"/>
      </right>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top style="thin">
        <color theme="0"/>
      </top>
      <bottom style="thin">
        <color theme="0"/>
      </bottom>
      <diagonal/>
    </border>
    <border>
      <left style="medium">
        <color auto="1"/>
      </left>
      <right style="thin">
        <color auto="1"/>
      </right>
      <top/>
      <bottom style="thin">
        <color auto="1"/>
      </bottom>
      <diagonal/>
    </border>
    <border>
      <left/>
      <right style="thin">
        <color theme="1" tint="0.249977111117893"/>
      </right>
      <top/>
      <bottom/>
      <diagonal/>
    </border>
    <border>
      <left style="thin">
        <color theme="1" tint="0.249977111117893"/>
      </left>
      <right style="thin">
        <color theme="1" tint="0.249977111117893"/>
      </right>
      <top/>
      <bottom/>
      <diagonal/>
    </border>
    <border>
      <left style="thin">
        <color theme="1" tint="0.249977111117893"/>
      </left>
      <right/>
      <top style="thin">
        <color auto="1"/>
      </top>
      <bottom/>
      <diagonal/>
    </border>
    <border>
      <left/>
      <right/>
      <top style="slantDashDot">
        <color theme="0"/>
      </top>
      <bottom/>
      <diagonal/>
    </border>
    <border>
      <left style="thin">
        <color theme="0"/>
      </left>
      <right style="thin">
        <color theme="0"/>
      </right>
      <top style="thin">
        <color theme="0"/>
      </top>
      <bottom style="thin">
        <color theme="0"/>
      </bottom>
      <diagonal/>
    </border>
    <border>
      <left style="thin">
        <color theme="1"/>
      </left>
      <right style="thin">
        <color theme="1"/>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medium">
        <color auto="1"/>
      </left>
      <right/>
      <top/>
      <bottom style="thin">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right/>
      <top/>
      <bottom style="slantDashDot">
        <color theme="0"/>
      </bottom>
      <diagonal/>
    </border>
    <border>
      <left/>
      <right style="thin">
        <color theme="1" tint="0.24994659260841701"/>
      </right>
      <top/>
      <bottom style="thin">
        <color theme="0"/>
      </bottom>
      <diagonal/>
    </border>
    <border>
      <left style="thin">
        <color theme="1" tint="0.24994659260841701"/>
      </left>
      <right style="thin">
        <color theme="1" tint="0.24994659260841701"/>
      </right>
      <top/>
      <bottom style="thin">
        <color theme="0"/>
      </bottom>
      <diagonal/>
    </border>
    <border>
      <left style="thin">
        <color theme="1" tint="0.24994659260841701"/>
      </left>
      <right/>
      <top/>
      <bottom style="thin">
        <color theme="0"/>
      </bottom>
      <diagonal/>
    </border>
    <border>
      <left style="thin">
        <color theme="1"/>
      </left>
      <right/>
      <top/>
      <bottom style="thin">
        <color theme="1"/>
      </bottom>
      <diagonal/>
    </border>
    <border>
      <left style="thin">
        <color theme="0"/>
      </left>
      <right style="thin">
        <color theme="1" tint="0.24994659260841701"/>
      </right>
      <top style="thin">
        <color theme="0"/>
      </top>
      <bottom style="thin">
        <color theme="0"/>
      </bottom>
      <diagonal/>
    </border>
    <border>
      <left style="thin">
        <color theme="1" tint="0.24994659260841701"/>
      </left>
      <right style="thin">
        <color theme="0"/>
      </right>
      <top style="thin">
        <color theme="0"/>
      </top>
      <bottom style="thin">
        <color theme="0"/>
      </bottom>
      <diagonal/>
    </border>
    <border>
      <left style="thin">
        <color theme="0"/>
      </left>
      <right style="thin">
        <color theme="0"/>
      </right>
      <top style="thin">
        <color theme="1" tint="0.24994659260841701"/>
      </top>
      <bottom style="thin">
        <color theme="1" tint="0.24994659260841701"/>
      </bottom>
      <diagonal/>
    </border>
    <border>
      <left/>
      <right/>
      <top style="thick">
        <color theme="0"/>
      </top>
      <bottom style="thick">
        <color theme="0"/>
      </bottom>
      <diagonal/>
    </border>
    <border>
      <left style="thin">
        <color theme="0"/>
      </left>
      <right style="thin">
        <color theme="0"/>
      </right>
      <top style="thin">
        <color theme="1" tint="0.34998626667073579"/>
      </top>
      <bottom style="thin">
        <color theme="1" tint="0.34998626667073579"/>
      </bottom>
      <diagonal/>
    </border>
    <border>
      <left style="thin">
        <color theme="0"/>
      </left>
      <right style="thin">
        <color theme="0"/>
      </right>
      <top/>
      <bottom style="thin">
        <color theme="1" tint="0.34998626667073579"/>
      </bottom>
      <diagonal/>
    </border>
    <border>
      <left style="thin">
        <color theme="0"/>
      </left>
      <right style="thin">
        <color theme="0"/>
      </right>
      <top style="thin">
        <color theme="0"/>
      </top>
      <bottom style="thin">
        <color theme="1" tint="0.249977111117893"/>
      </bottom>
      <diagonal/>
    </border>
    <border>
      <left style="thin">
        <color theme="0"/>
      </left>
      <right style="thin">
        <color theme="0"/>
      </right>
      <top/>
      <bottom style="thin">
        <color theme="1" tint="0.249977111117893"/>
      </bottom>
      <diagonal/>
    </border>
    <border>
      <left style="thin">
        <color theme="1"/>
      </left>
      <right/>
      <top style="thin">
        <color theme="1"/>
      </top>
      <bottom style="thin">
        <color theme="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style="medium">
        <color auto="1"/>
      </bottom>
      <diagonal/>
    </border>
    <border>
      <left/>
      <right/>
      <top style="thin">
        <color theme="1"/>
      </top>
      <bottom style="thin">
        <color theme="1"/>
      </bottom>
      <diagonal/>
    </border>
    <border>
      <left/>
      <right style="thin">
        <color theme="1"/>
      </right>
      <top style="thin">
        <color theme="1"/>
      </top>
      <bottom style="thin">
        <color theme="1"/>
      </bottom>
      <diagonal/>
    </border>
    <border>
      <left/>
      <right style="thin">
        <color theme="1"/>
      </right>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right/>
      <top/>
      <bottom style="thin">
        <color theme="1"/>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medium">
        <color theme="1"/>
      </left>
      <right style="medium">
        <color theme="1"/>
      </right>
      <top style="medium">
        <color theme="1"/>
      </top>
      <bottom/>
      <diagonal/>
    </border>
    <border>
      <left style="medium">
        <color theme="1"/>
      </left>
      <right style="medium">
        <color theme="1"/>
      </right>
      <top/>
      <bottom/>
      <diagonal/>
    </border>
    <border>
      <left style="medium">
        <color theme="1"/>
      </left>
      <right style="medium">
        <color theme="1"/>
      </right>
      <top/>
      <bottom style="medium">
        <color theme="1"/>
      </bottom>
      <diagonal/>
    </border>
    <border>
      <left style="medium">
        <color auto="1"/>
      </left>
      <right style="medium">
        <color auto="1"/>
      </right>
      <top style="medium">
        <color auto="1"/>
      </top>
      <bottom style="medium">
        <color auto="1"/>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FFFFFF"/>
      </left>
      <right/>
      <top style="thin">
        <color rgb="FFFFFFFF"/>
      </top>
      <bottom style="thin">
        <color rgb="FFFFFFFF"/>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s>
  <cellStyleXfs count="241">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cellStyleXfs>
  <cellXfs count="645">
    <xf numFmtId="0" fontId="0" fillId="0" borderId="0" xfId="0"/>
    <xf numFmtId="0" fontId="0" fillId="2" borderId="0" xfId="0" applyFill="1"/>
    <xf numFmtId="0" fontId="0" fillId="2" borderId="10" xfId="0" applyFill="1" applyBorder="1"/>
    <xf numFmtId="0" fontId="0" fillId="2" borderId="19" xfId="0" applyFill="1" applyBorder="1" applyAlignment="1">
      <alignment horizontal="right"/>
    </xf>
    <xf numFmtId="0" fontId="0" fillId="2" borderId="4" xfId="0" applyFill="1" applyBorder="1" applyAlignment="1">
      <alignment horizontal="left"/>
    </xf>
    <xf numFmtId="0" fontId="0" fillId="2" borderId="3" xfId="0" applyFill="1" applyBorder="1" applyAlignment="1">
      <alignment horizontal="right"/>
    </xf>
    <xf numFmtId="0" fontId="0" fillId="2" borderId="20" xfId="0" applyFill="1" applyBorder="1" applyAlignment="1">
      <alignment horizontal="left"/>
    </xf>
    <xf numFmtId="0" fontId="0" fillId="2" borderId="0" xfId="0" applyFill="1" applyAlignment="1">
      <alignment horizontal="right"/>
    </xf>
    <xf numFmtId="164" fontId="0" fillId="2" borderId="0" xfId="0" applyNumberFormat="1" applyFill="1" applyAlignment="1">
      <alignment horizontal="left"/>
    </xf>
    <xf numFmtId="165" fontId="0" fillId="2" borderId="0" xfId="0" applyNumberFormat="1" applyFill="1"/>
    <xf numFmtId="0" fontId="11" fillId="3" borderId="9" xfId="0" applyFont="1" applyFill="1" applyBorder="1"/>
    <xf numFmtId="0" fontId="11" fillId="3" borderId="1" xfId="0" applyFont="1" applyFill="1" applyBorder="1" applyAlignment="1">
      <alignment horizontal="right"/>
    </xf>
    <xf numFmtId="165" fontId="0" fillId="4" borderId="19" xfId="0" applyNumberFormat="1" applyFill="1" applyBorder="1" applyAlignment="1">
      <alignment horizontal="right"/>
    </xf>
    <xf numFmtId="0" fontId="6" fillId="4" borderId="4" xfId="0" applyFont="1" applyFill="1" applyBorder="1" applyAlignment="1">
      <alignment horizontal="left"/>
    </xf>
    <xf numFmtId="165" fontId="0" fillId="4" borderId="3" xfId="0" applyNumberFormat="1" applyFill="1" applyBorder="1" applyAlignment="1">
      <alignment horizontal="right"/>
    </xf>
    <xf numFmtId="0" fontId="6" fillId="4" borderId="20" xfId="0" applyFont="1" applyFill="1" applyBorder="1" applyAlignment="1">
      <alignment horizontal="left"/>
    </xf>
    <xf numFmtId="0" fontId="6" fillId="4" borderId="0" xfId="0" applyFont="1" applyFill="1" applyAlignment="1">
      <alignment horizontal="left"/>
    </xf>
    <xf numFmtId="2" fontId="0" fillId="4" borderId="19" xfId="0" applyNumberFormat="1" applyFill="1" applyBorder="1" applyAlignment="1">
      <alignment horizontal="right"/>
    </xf>
    <xf numFmtId="2" fontId="0" fillId="4" borderId="3" xfId="0" applyNumberFormat="1" applyFill="1" applyBorder="1" applyAlignment="1">
      <alignment horizontal="right"/>
    </xf>
    <xf numFmtId="1" fontId="0" fillId="4" borderId="19" xfId="0" applyNumberFormat="1" applyFill="1" applyBorder="1" applyAlignment="1">
      <alignment horizontal="right"/>
    </xf>
    <xf numFmtId="1" fontId="0" fillId="4" borderId="3" xfId="0" applyNumberFormat="1" applyFill="1" applyBorder="1" applyAlignment="1">
      <alignment horizontal="right"/>
    </xf>
    <xf numFmtId="0" fontId="6" fillId="4" borderId="22" xfId="0" applyFont="1" applyFill="1" applyBorder="1" applyAlignment="1">
      <alignment horizontal="left"/>
    </xf>
    <xf numFmtId="0" fontId="6" fillId="4" borderId="24" xfId="0" applyFont="1" applyFill="1" applyBorder="1" applyAlignment="1">
      <alignment horizontal="left"/>
    </xf>
    <xf numFmtId="0" fontId="0" fillId="4" borderId="10" xfId="0" applyFill="1" applyBorder="1"/>
    <xf numFmtId="0" fontId="0" fillId="4" borderId="11" xfId="0" applyFill="1" applyBorder="1"/>
    <xf numFmtId="165" fontId="0" fillId="4" borderId="3" xfId="0" applyNumberFormat="1" applyFill="1" applyBorder="1"/>
    <xf numFmtId="165" fontId="0" fillId="4" borderId="5" xfId="0" applyNumberFormat="1" applyFill="1" applyBorder="1"/>
    <xf numFmtId="0" fontId="4" fillId="3" borderId="13" xfId="0" applyFont="1" applyFill="1" applyBorder="1"/>
    <xf numFmtId="0" fontId="0" fillId="4" borderId="20" xfId="0" applyFill="1" applyBorder="1" applyAlignment="1">
      <alignment horizontal="left"/>
    </xf>
    <xf numFmtId="0" fontId="0" fillId="4" borderId="4" xfId="0" applyFill="1" applyBorder="1" applyAlignment="1">
      <alignment horizontal="left"/>
    </xf>
    <xf numFmtId="0" fontId="0" fillId="4" borderId="14" xfId="0" applyFill="1" applyBorder="1"/>
    <xf numFmtId="0" fontId="12" fillId="5" borderId="13" xfId="0" applyFont="1" applyFill="1" applyBorder="1" applyProtection="1">
      <protection locked="0"/>
    </xf>
    <xf numFmtId="0" fontId="12" fillId="5" borderId="32" xfId="0" applyFont="1" applyFill="1" applyBorder="1" applyAlignment="1" applyProtection="1">
      <alignment horizontal="right"/>
      <protection locked="0"/>
    </xf>
    <xf numFmtId="0" fontId="12" fillId="5" borderId="33" xfId="0" applyFont="1" applyFill="1" applyBorder="1" applyAlignment="1" applyProtection="1">
      <alignment horizontal="center"/>
      <protection locked="0"/>
    </xf>
    <xf numFmtId="0" fontId="12" fillId="5" borderId="12" xfId="0" applyFont="1" applyFill="1" applyBorder="1" applyAlignment="1" applyProtection="1">
      <alignment horizontal="right"/>
      <protection locked="0"/>
    </xf>
    <xf numFmtId="0" fontId="12" fillId="5" borderId="34" xfId="0" applyFont="1" applyFill="1" applyBorder="1" applyAlignment="1" applyProtection="1">
      <alignment horizontal="center"/>
      <protection locked="0"/>
    </xf>
    <xf numFmtId="0" fontId="12" fillId="5" borderId="35" xfId="0" applyFont="1" applyFill="1" applyBorder="1" applyAlignment="1" applyProtection="1">
      <alignment horizontal="right"/>
      <protection locked="0"/>
    </xf>
    <xf numFmtId="0" fontId="12" fillId="5" borderId="36" xfId="0" applyFont="1" applyFill="1" applyBorder="1" applyAlignment="1" applyProtection="1">
      <alignment horizontal="right"/>
      <protection locked="0"/>
    </xf>
    <xf numFmtId="0" fontId="12" fillId="5" borderId="19" xfId="0" applyFont="1" applyFill="1" applyBorder="1" applyAlignment="1" applyProtection="1">
      <alignment horizontal="right"/>
      <protection locked="0"/>
    </xf>
    <xf numFmtId="0" fontId="12" fillId="5" borderId="3" xfId="0" applyFont="1" applyFill="1" applyBorder="1" applyAlignment="1" applyProtection="1">
      <alignment horizontal="right"/>
      <protection locked="0"/>
    </xf>
    <xf numFmtId="164" fontId="0" fillId="2" borderId="4" xfId="0" applyNumberFormat="1" applyFill="1" applyBorder="1" applyAlignment="1">
      <alignment horizontal="left"/>
    </xf>
    <xf numFmtId="0" fontId="0" fillId="4" borderId="4" xfId="0" applyFill="1" applyBorder="1"/>
    <xf numFmtId="0" fontId="0" fillId="4" borderId="6" xfId="0" applyFill="1" applyBorder="1"/>
    <xf numFmtId="165" fontId="0" fillId="2" borderId="19" xfId="0" applyNumberFormat="1" applyFill="1" applyBorder="1" applyAlignment="1">
      <alignment horizontal="right"/>
    </xf>
    <xf numFmtId="0" fontId="6" fillId="2" borderId="0" xfId="0" applyFont="1" applyFill="1" applyAlignment="1">
      <alignment horizontal="left"/>
    </xf>
    <xf numFmtId="165" fontId="0" fillId="2" borderId="3" xfId="0" applyNumberFormat="1" applyFill="1" applyBorder="1" applyAlignment="1">
      <alignment horizontal="right"/>
    </xf>
    <xf numFmtId="0" fontId="6" fillId="2" borderId="20" xfId="0" applyFont="1" applyFill="1" applyBorder="1" applyAlignment="1">
      <alignment horizontal="left"/>
    </xf>
    <xf numFmtId="0" fontId="6" fillId="2" borderId="4" xfId="0" applyFont="1" applyFill="1" applyBorder="1" applyAlignment="1">
      <alignment horizontal="left"/>
    </xf>
    <xf numFmtId="165" fontId="12" fillId="4" borderId="28" xfId="0" applyNumberFormat="1" applyFont="1" applyFill="1" applyBorder="1"/>
    <xf numFmtId="0" fontId="14" fillId="4" borderId="29" xfId="0" applyFont="1" applyFill="1" applyBorder="1" applyAlignment="1">
      <alignment horizontal="left"/>
    </xf>
    <xf numFmtId="0" fontId="12" fillId="4" borderId="29" xfId="0" applyFont="1" applyFill="1" applyBorder="1" applyAlignment="1">
      <alignment horizontal="left"/>
    </xf>
    <xf numFmtId="165" fontId="12" fillId="4" borderId="30" xfId="0" applyNumberFormat="1" applyFont="1" applyFill="1" applyBorder="1"/>
    <xf numFmtId="0" fontId="14" fillId="4" borderId="31" xfId="0" applyFont="1" applyFill="1" applyBorder="1" applyAlignment="1">
      <alignment horizontal="left"/>
    </xf>
    <xf numFmtId="0" fontId="4" fillId="3" borderId="26" xfId="0" applyFont="1" applyFill="1" applyBorder="1"/>
    <xf numFmtId="0" fontId="4" fillId="3" borderId="27" xfId="0" applyFont="1" applyFill="1" applyBorder="1"/>
    <xf numFmtId="164" fontId="4" fillId="2" borderId="0" xfId="0" applyNumberFormat="1" applyFont="1" applyFill="1" applyAlignment="1">
      <alignment horizontal="center"/>
    </xf>
    <xf numFmtId="0" fontId="4" fillId="2" borderId="19" xfId="0" applyFont="1" applyFill="1" applyBorder="1" applyAlignment="1">
      <alignment horizontal="right"/>
    </xf>
    <xf numFmtId="164" fontId="4" fillId="2" borderId="20" xfId="0" applyNumberFormat="1" applyFont="1" applyFill="1" applyBorder="1" applyAlignment="1">
      <alignment horizontal="left"/>
    </xf>
    <xf numFmtId="2" fontId="13" fillId="2" borderId="19" xfId="0" applyNumberFormat="1" applyFont="1" applyFill="1" applyBorder="1"/>
    <xf numFmtId="2" fontId="13" fillId="2" borderId="20" xfId="0" applyNumberFormat="1" applyFont="1" applyFill="1" applyBorder="1"/>
    <xf numFmtId="0" fontId="6" fillId="4" borderId="6" xfId="0" applyFont="1" applyFill="1" applyBorder="1" applyAlignment="1">
      <alignment horizontal="left"/>
    </xf>
    <xf numFmtId="0" fontId="7" fillId="5" borderId="32" xfId="0" applyFont="1" applyFill="1" applyBorder="1" applyAlignment="1" applyProtection="1">
      <alignment horizontal="right"/>
      <protection locked="0"/>
    </xf>
    <xf numFmtId="0" fontId="0" fillId="5" borderId="33" xfId="0" applyFill="1" applyBorder="1" applyAlignment="1" applyProtection="1">
      <alignment horizontal="center"/>
      <protection locked="0"/>
    </xf>
    <xf numFmtId="0" fontId="7" fillId="5" borderId="12" xfId="0" applyFont="1" applyFill="1" applyBorder="1" applyAlignment="1" applyProtection="1">
      <alignment horizontal="right"/>
      <protection locked="0"/>
    </xf>
    <xf numFmtId="0" fontId="0" fillId="5" borderId="34" xfId="0" applyFill="1" applyBorder="1" applyAlignment="1" applyProtection="1">
      <alignment horizontal="center"/>
      <protection locked="0"/>
    </xf>
    <xf numFmtId="0" fontId="7" fillId="5" borderId="35" xfId="0" applyFont="1" applyFill="1" applyBorder="1" applyAlignment="1" applyProtection="1">
      <alignment horizontal="right"/>
      <protection locked="0"/>
    </xf>
    <xf numFmtId="0" fontId="7" fillId="5" borderId="36" xfId="0" applyFont="1" applyFill="1" applyBorder="1" applyAlignment="1" applyProtection="1">
      <alignment horizontal="right"/>
      <protection locked="0"/>
    </xf>
    <xf numFmtId="0" fontId="0" fillId="5" borderId="3" xfId="0" applyFill="1" applyBorder="1" applyAlignment="1" applyProtection="1">
      <alignment horizontal="right"/>
      <protection locked="0"/>
    </xf>
    <xf numFmtId="0" fontId="0" fillId="5" borderId="19" xfId="0" applyFill="1" applyBorder="1" applyAlignment="1" applyProtection="1">
      <alignment horizontal="right"/>
      <protection locked="0"/>
    </xf>
    <xf numFmtId="0" fontId="11" fillId="3" borderId="10" xfId="0" applyFont="1" applyFill="1" applyBorder="1"/>
    <xf numFmtId="0" fontId="4" fillId="3" borderId="8" xfId="0" applyFont="1" applyFill="1" applyBorder="1"/>
    <xf numFmtId="0" fontId="4" fillId="2" borderId="0" xfId="0" applyFont="1" applyFill="1"/>
    <xf numFmtId="0" fontId="12" fillId="5" borderId="8" xfId="0" applyFont="1" applyFill="1" applyBorder="1" applyAlignment="1" applyProtection="1">
      <alignment horizontal="center"/>
      <protection locked="0"/>
    </xf>
    <xf numFmtId="0" fontId="11" fillId="3" borderId="1" xfId="0" applyFont="1" applyFill="1" applyBorder="1" applyAlignment="1">
      <alignment horizontal="center"/>
    </xf>
    <xf numFmtId="0" fontId="11" fillId="3" borderId="3" xfId="0" applyFont="1" applyFill="1" applyBorder="1" applyAlignment="1">
      <alignment horizontal="center"/>
    </xf>
    <xf numFmtId="165" fontId="0" fillId="4" borderId="3" xfId="0" applyNumberFormat="1" applyFill="1" applyBorder="1" applyAlignment="1">
      <alignment horizontal="center"/>
    </xf>
    <xf numFmtId="0" fontId="19" fillId="2" borderId="0" xfId="0" applyFont="1" applyFill="1"/>
    <xf numFmtId="2" fontId="19" fillId="2" borderId="0" xfId="0" applyNumberFormat="1" applyFont="1" applyFill="1"/>
    <xf numFmtId="0" fontId="19" fillId="2" borderId="43" xfId="0" applyFont="1" applyFill="1" applyBorder="1"/>
    <xf numFmtId="0" fontId="19" fillId="2" borderId="41" xfId="0" applyFont="1" applyFill="1" applyBorder="1"/>
    <xf numFmtId="0" fontId="19" fillId="2" borderId="44" xfId="0" applyFont="1" applyFill="1" applyBorder="1"/>
    <xf numFmtId="0" fontId="19" fillId="2" borderId="45" xfId="0" applyFont="1" applyFill="1" applyBorder="1"/>
    <xf numFmtId="0" fontId="19" fillId="2" borderId="46" xfId="0" applyFont="1" applyFill="1" applyBorder="1"/>
    <xf numFmtId="0" fontId="19" fillId="2" borderId="47" xfId="0" applyFont="1" applyFill="1" applyBorder="1"/>
    <xf numFmtId="0" fontId="19" fillId="2" borderId="49" xfId="0" applyFont="1" applyFill="1" applyBorder="1"/>
    <xf numFmtId="0" fontId="19" fillId="2" borderId="40" xfId="0" applyFont="1" applyFill="1" applyBorder="1"/>
    <xf numFmtId="0" fontId="19" fillId="2" borderId="42" xfId="0" applyFont="1" applyFill="1" applyBorder="1"/>
    <xf numFmtId="0" fontId="4" fillId="0" borderId="0" xfId="0" applyFont="1"/>
    <xf numFmtId="0" fontId="0" fillId="0" borderId="0" xfId="0" applyAlignment="1">
      <alignment horizontal="right"/>
    </xf>
    <xf numFmtId="0" fontId="0" fillId="0" borderId="0" xfId="0" applyAlignment="1">
      <alignment horizontal="left"/>
    </xf>
    <xf numFmtId="0" fontId="0" fillId="0" borderId="0" xfId="0" applyAlignment="1">
      <alignment horizontal="center"/>
    </xf>
    <xf numFmtId="165" fontId="0" fillId="0" borderId="0" xfId="0" applyNumberFormat="1" applyAlignment="1">
      <alignment horizontal="center"/>
    </xf>
    <xf numFmtId="2" fontId="0" fillId="0" borderId="0" xfId="0" applyNumberFormat="1" applyAlignment="1">
      <alignment horizontal="center"/>
    </xf>
    <xf numFmtId="2" fontId="0" fillId="0" borderId="0" xfId="0" applyNumberFormat="1"/>
    <xf numFmtId="0" fontId="0" fillId="0" borderId="0" xfId="0" applyAlignment="1">
      <alignment horizontal="center" vertical="center"/>
    </xf>
    <xf numFmtId="2" fontId="0" fillId="0" borderId="0" xfId="0" applyNumberFormat="1" applyAlignment="1">
      <alignment horizontal="center" vertical="center"/>
    </xf>
    <xf numFmtId="0" fontId="0" fillId="0" borderId="0" xfId="0" quotePrefix="1" applyAlignment="1">
      <alignment horizontal="center"/>
    </xf>
    <xf numFmtId="0" fontId="0" fillId="2" borderId="0" xfId="0" applyFill="1" applyAlignment="1">
      <alignment horizontal="center"/>
    </xf>
    <xf numFmtId="2" fontId="8" fillId="2" borderId="0" xfId="0" applyNumberFormat="1" applyFont="1" applyFill="1"/>
    <xf numFmtId="0" fontId="26" fillId="4" borderId="10" xfId="0" applyFont="1" applyFill="1" applyBorder="1"/>
    <xf numFmtId="49" fontId="28" fillId="4" borderId="10" xfId="0" applyNumberFormat="1" applyFont="1" applyFill="1" applyBorder="1" applyAlignment="1">
      <alignment horizontal="left" vertical="top" wrapText="1" shrinkToFit="1"/>
    </xf>
    <xf numFmtId="49" fontId="28" fillId="4" borderId="11" xfId="0" applyNumberFormat="1" applyFont="1" applyFill="1" applyBorder="1" applyAlignment="1">
      <alignment horizontal="left" vertical="top" wrapText="1" shrinkToFit="1"/>
    </xf>
    <xf numFmtId="2" fontId="28" fillId="4" borderId="10" xfId="0" applyNumberFormat="1" applyFont="1" applyFill="1" applyBorder="1" applyAlignment="1">
      <alignment horizontal="left"/>
    </xf>
    <xf numFmtId="0" fontId="11" fillId="3" borderId="0" xfId="0" applyFont="1" applyFill="1" applyAlignment="1">
      <alignment horizontal="center"/>
    </xf>
    <xf numFmtId="0" fontId="11" fillId="3" borderId="54" xfId="0" applyFont="1" applyFill="1" applyBorder="1" applyAlignment="1">
      <alignment horizontal="right"/>
    </xf>
    <xf numFmtId="3" fontId="29" fillId="4" borderId="11" xfId="0" applyNumberFormat="1" applyFont="1" applyFill="1" applyBorder="1" applyAlignment="1">
      <alignment horizontal="center" vertical="top" wrapText="1" shrinkToFit="1"/>
    </xf>
    <xf numFmtId="3" fontId="29" fillId="4" borderId="9" xfId="0" applyNumberFormat="1" applyFont="1" applyFill="1" applyBorder="1" applyAlignment="1">
      <alignment horizontal="center" vertical="top" wrapText="1" shrinkToFit="1"/>
    </xf>
    <xf numFmtId="3" fontId="29" fillId="4" borderId="9" xfId="0" applyNumberFormat="1" applyFont="1" applyFill="1" applyBorder="1" applyAlignment="1">
      <alignment horizontal="center"/>
    </xf>
    <xf numFmtId="3" fontId="29" fillId="4" borderId="11" xfId="0" applyNumberFormat="1" applyFont="1" applyFill="1" applyBorder="1" applyAlignment="1">
      <alignment horizontal="center"/>
    </xf>
    <xf numFmtId="0" fontId="12" fillId="0" borderId="0" xfId="0" applyFont="1"/>
    <xf numFmtId="2" fontId="12" fillId="0" borderId="0" xfId="0" applyNumberFormat="1" applyFont="1"/>
    <xf numFmtId="0" fontId="12" fillId="0" borderId="0" xfId="0" applyFont="1" applyAlignment="1">
      <alignment horizontal="left"/>
    </xf>
    <xf numFmtId="0" fontId="12" fillId="0" borderId="0" xfId="0" applyFont="1" applyAlignment="1">
      <alignment horizontal="center"/>
    </xf>
    <xf numFmtId="2" fontId="12" fillId="0" borderId="0" xfId="0" applyNumberFormat="1" applyFont="1" applyAlignment="1">
      <alignment horizontal="center"/>
    </xf>
    <xf numFmtId="0" fontId="12" fillId="0" borderId="0" xfId="0" applyFont="1" applyProtection="1">
      <protection hidden="1"/>
    </xf>
    <xf numFmtId="0" fontId="0" fillId="0" borderId="0" xfId="0" applyProtection="1">
      <protection hidden="1"/>
    </xf>
    <xf numFmtId="2" fontId="12" fillId="0" borderId="0" xfId="0" applyNumberFormat="1" applyFont="1" applyProtection="1">
      <protection hidden="1"/>
    </xf>
    <xf numFmtId="2" fontId="19" fillId="2" borderId="40" xfId="0" applyNumberFormat="1" applyFont="1" applyFill="1" applyBorder="1"/>
    <xf numFmtId="2" fontId="19" fillId="2" borderId="41" xfId="0" applyNumberFormat="1" applyFont="1" applyFill="1" applyBorder="1"/>
    <xf numFmtId="2" fontId="19" fillId="2" borderId="44" xfId="0" applyNumberFormat="1" applyFont="1" applyFill="1" applyBorder="1"/>
    <xf numFmtId="4" fontId="12" fillId="0" borderId="0" xfId="0" applyNumberFormat="1" applyFont="1"/>
    <xf numFmtId="49" fontId="0" fillId="0" borderId="0" xfId="0" applyNumberFormat="1" applyAlignment="1">
      <alignment wrapText="1"/>
    </xf>
    <xf numFmtId="1" fontId="19" fillId="2" borderId="41" xfId="0" applyNumberFormat="1" applyFont="1" applyFill="1" applyBorder="1"/>
    <xf numFmtId="1" fontId="19" fillId="2" borderId="44" xfId="0" applyNumberFormat="1" applyFont="1" applyFill="1" applyBorder="1"/>
    <xf numFmtId="49" fontId="32" fillId="3" borderId="0" xfId="0" applyNumberFormat="1" applyFont="1" applyFill="1" applyAlignment="1">
      <alignment horizontal="center" wrapText="1"/>
    </xf>
    <xf numFmtId="0" fontId="34" fillId="2" borderId="46" xfId="0" applyFont="1" applyFill="1" applyBorder="1" applyAlignment="1">
      <alignment horizontal="center" vertical="center"/>
    </xf>
    <xf numFmtId="0" fontId="4" fillId="2" borderId="0" xfId="0" applyFont="1" applyFill="1" applyAlignment="1">
      <alignment horizontal="right"/>
    </xf>
    <xf numFmtId="0" fontId="12" fillId="2" borderId="0" xfId="0" applyFont="1" applyFill="1" applyProtection="1">
      <protection hidden="1"/>
    </xf>
    <xf numFmtId="0" fontId="36" fillId="2" borderId="0" xfId="0" applyFont="1" applyFill="1" applyAlignment="1">
      <alignment horizontal="right"/>
    </xf>
    <xf numFmtId="2" fontId="36" fillId="2" borderId="0" xfId="0" applyNumberFormat="1" applyFont="1" applyFill="1" applyAlignment="1">
      <alignment horizontal="right" vertical="center"/>
    </xf>
    <xf numFmtId="2" fontId="36" fillId="2" borderId="0" xfId="0" applyNumberFormat="1" applyFont="1" applyFill="1" applyAlignment="1">
      <alignment horizontal="right"/>
    </xf>
    <xf numFmtId="0" fontId="33" fillId="2" borderId="0" xfId="0" applyFont="1" applyFill="1" applyAlignment="1">
      <alignment horizontal="right"/>
    </xf>
    <xf numFmtId="0" fontId="36" fillId="2" borderId="0" xfId="0" applyFont="1" applyFill="1"/>
    <xf numFmtId="0" fontId="0" fillId="2" borderId="55" xfId="0" applyFill="1" applyBorder="1"/>
    <xf numFmtId="0" fontId="12" fillId="2" borderId="0" xfId="0" applyFont="1" applyFill="1"/>
    <xf numFmtId="165" fontId="19" fillId="2" borderId="40" xfId="0" applyNumberFormat="1" applyFont="1" applyFill="1" applyBorder="1"/>
    <xf numFmtId="165" fontId="19" fillId="2" borderId="42" xfId="0" applyNumberFormat="1" applyFont="1" applyFill="1" applyBorder="1"/>
    <xf numFmtId="0" fontId="11" fillId="3" borderId="8" xfId="0" applyFont="1" applyFill="1" applyBorder="1" applyAlignment="1">
      <alignment horizontal="right"/>
    </xf>
    <xf numFmtId="164" fontId="0" fillId="4" borderId="57" xfId="0" applyNumberFormat="1" applyFill="1" applyBorder="1" applyAlignment="1">
      <alignment horizontal="center"/>
    </xf>
    <xf numFmtId="164" fontId="12" fillId="4" borderId="4" xfId="0" applyNumberFormat="1" applyFont="1" applyFill="1" applyBorder="1" applyAlignment="1">
      <alignment horizontal="center"/>
    </xf>
    <xf numFmtId="0" fontId="35" fillId="5" borderId="56" xfId="0" applyFont="1" applyFill="1" applyBorder="1" applyAlignment="1" applyProtection="1">
      <alignment horizontal="center" vertical="center"/>
      <protection locked="0"/>
    </xf>
    <xf numFmtId="165" fontId="0" fillId="4" borderId="21" xfId="0" applyNumberFormat="1" applyFill="1" applyBorder="1" applyAlignment="1">
      <alignment horizontal="right"/>
    </xf>
    <xf numFmtId="165" fontId="0" fillId="4" borderId="23" xfId="0" applyNumberFormat="1" applyFill="1" applyBorder="1" applyAlignment="1">
      <alignment horizontal="right"/>
    </xf>
    <xf numFmtId="166" fontId="19" fillId="2" borderId="40" xfId="0" applyNumberFormat="1" applyFont="1" applyFill="1" applyBorder="1"/>
    <xf numFmtId="3" fontId="19" fillId="2" borderId="40" xfId="0" applyNumberFormat="1" applyFont="1" applyFill="1" applyBorder="1"/>
    <xf numFmtId="3" fontId="19" fillId="2" borderId="42" xfId="0" applyNumberFormat="1" applyFont="1" applyFill="1" applyBorder="1"/>
    <xf numFmtId="3" fontId="0" fillId="4" borderId="3" xfId="0" applyNumberFormat="1" applyFill="1" applyBorder="1" applyAlignment="1">
      <alignment horizontal="center"/>
    </xf>
    <xf numFmtId="0" fontId="0" fillId="2" borderId="0" xfId="0" applyFill="1" applyProtection="1">
      <protection hidden="1"/>
    </xf>
    <xf numFmtId="165" fontId="19" fillId="2" borderId="41" xfId="0" applyNumberFormat="1" applyFont="1" applyFill="1" applyBorder="1"/>
    <xf numFmtId="165" fontId="19" fillId="2" borderId="44" xfId="0" applyNumberFormat="1" applyFont="1" applyFill="1" applyBorder="1"/>
    <xf numFmtId="2" fontId="19" fillId="2" borderId="0" xfId="0" applyNumberFormat="1" applyFont="1" applyFill="1" applyAlignment="1">
      <alignment horizontal="right" vertical="center"/>
    </xf>
    <xf numFmtId="0" fontId="39" fillId="2" borderId="0" xfId="0" applyFont="1" applyFill="1" applyProtection="1">
      <protection hidden="1"/>
    </xf>
    <xf numFmtId="0" fontId="40" fillId="2" borderId="0" xfId="0" applyFont="1" applyFill="1" applyProtection="1">
      <protection hidden="1"/>
    </xf>
    <xf numFmtId="0" fontId="39" fillId="2" borderId="0" xfId="0" applyFont="1" applyFill="1" applyAlignment="1" applyProtection="1">
      <alignment horizontal="right"/>
      <protection hidden="1"/>
    </xf>
    <xf numFmtId="164" fontId="0" fillId="4" borderId="2" xfId="0" applyNumberFormat="1" applyFill="1" applyBorder="1" applyAlignment="1">
      <alignment horizontal="center"/>
    </xf>
    <xf numFmtId="0" fontId="43" fillId="5" borderId="42" xfId="0" applyFont="1" applyFill="1" applyBorder="1" applyAlignment="1" applyProtection="1">
      <alignment horizontal="center" vertical="center" wrapText="1"/>
      <protection locked="0"/>
    </xf>
    <xf numFmtId="0" fontId="34" fillId="2" borderId="40" xfId="0" applyFont="1" applyFill="1" applyBorder="1" applyAlignment="1">
      <alignment horizontal="center" vertical="center"/>
    </xf>
    <xf numFmtId="166" fontId="19" fillId="2" borderId="0" xfId="0" applyNumberFormat="1" applyFont="1" applyFill="1"/>
    <xf numFmtId="3" fontId="19" fillId="2" borderId="0" xfId="0" applyNumberFormat="1" applyFont="1" applyFill="1"/>
    <xf numFmtId="1" fontId="19" fillId="2" borderId="0" xfId="0" applyNumberFormat="1" applyFont="1" applyFill="1"/>
    <xf numFmtId="0" fontId="0" fillId="2" borderId="66" xfId="0" applyFill="1" applyBorder="1"/>
    <xf numFmtId="0" fontId="4" fillId="2" borderId="0" xfId="0" applyFont="1" applyFill="1" applyAlignment="1" applyProtection="1">
      <alignment horizontal="right"/>
      <protection hidden="1"/>
    </xf>
    <xf numFmtId="0" fontId="4" fillId="2" borderId="0" xfId="0" applyFont="1" applyFill="1" applyAlignment="1">
      <alignment horizontal="right" vertical="center"/>
    </xf>
    <xf numFmtId="0" fontId="4" fillId="2" borderId="55" xfId="0" applyFont="1" applyFill="1" applyBorder="1" applyAlignment="1">
      <alignment horizontal="right" vertical="center"/>
    </xf>
    <xf numFmtId="0" fontId="4" fillId="2" borderId="55" xfId="0" applyFont="1" applyFill="1" applyBorder="1" applyAlignment="1">
      <alignment horizontal="right"/>
    </xf>
    <xf numFmtId="0" fontId="19" fillId="2" borderId="0" xfId="0" applyFont="1" applyFill="1" applyAlignment="1">
      <alignment horizontal="right"/>
    </xf>
    <xf numFmtId="1" fontId="19" fillId="2" borderId="0" xfId="0" applyNumberFormat="1" applyFont="1" applyFill="1" applyAlignment="1">
      <alignment horizontal="right" vertical="center"/>
    </xf>
    <xf numFmtId="0" fontId="4" fillId="2" borderId="0" xfId="0" applyFont="1" applyFill="1" applyProtection="1">
      <protection hidden="1"/>
    </xf>
    <xf numFmtId="0" fontId="4" fillId="2" borderId="66" xfId="0" applyFont="1" applyFill="1" applyBorder="1"/>
    <xf numFmtId="0" fontId="19" fillId="2" borderId="0" xfId="0" applyFont="1" applyFill="1" applyAlignment="1">
      <alignment horizontal="right" vertical="center"/>
    </xf>
    <xf numFmtId="0" fontId="4" fillId="2" borderId="0" xfId="0" applyFont="1" applyFill="1" applyAlignment="1" applyProtection="1">
      <alignment horizontal="right" vertical="center"/>
      <protection hidden="1"/>
    </xf>
    <xf numFmtId="0" fontId="1" fillId="0" borderId="0" xfId="0" applyFont="1"/>
    <xf numFmtId="0" fontId="44" fillId="0" borderId="0" xfId="0" quotePrefix="1" applyFont="1"/>
    <xf numFmtId="0" fontId="45" fillId="0" borderId="0" xfId="0" applyFont="1"/>
    <xf numFmtId="0" fontId="25" fillId="0" borderId="0" xfId="223" applyFont="1" applyProtection="1"/>
    <xf numFmtId="0" fontId="0" fillId="0" borderId="1" xfId="0" applyBorder="1"/>
    <xf numFmtId="0" fontId="1" fillId="0" borderId="8" xfId="0" applyFont="1" applyBorder="1"/>
    <xf numFmtId="0" fontId="1" fillId="0" borderId="2" xfId="0" applyFont="1" applyBorder="1"/>
    <xf numFmtId="0" fontId="1" fillId="0" borderId="1" xfId="0" applyFont="1" applyBorder="1"/>
    <xf numFmtId="0" fontId="0" fillId="0" borderId="58" xfId="0" applyBorder="1" applyAlignment="1">
      <alignment horizontal="center"/>
    </xf>
    <xf numFmtId="0" fontId="1" fillId="0" borderId="59" xfId="0" applyFont="1" applyBorder="1"/>
    <xf numFmtId="0" fontId="0" fillId="0" borderId="59" xfId="0" applyBorder="1"/>
    <xf numFmtId="0" fontId="0" fillId="0" borderId="60" xfId="0" applyBorder="1"/>
    <xf numFmtId="0" fontId="0" fillId="0" borderId="1" xfId="0" applyBorder="1" applyAlignment="1">
      <alignment horizontal="center"/>
    </xf>
    <xf numFmtId="0" fontId="0" fillId="0" borderId="8" xfId="0" applyBorder="1"/>
    <xf numFmtId="0" fontId="0" fillId="0" borderId="2" xfId="0" applyBorder="1"/>
    <xf numFmtId="0" fontId="1" fillId="0" borderId="3" xfId="0" applyFont="1" applyBorder="1" applyAlignment="1">
      <alignment horizontal="center"/>
    </xf>
    <xf numFmtId="0" fontId="1" fillId="0" borderId="0" xfId="0" applyFont="1" applyAlignment="1">
      <alignment horizontal="center"/>
    </xf>
    <xf numFmtId="0" fontId="1" fillId="0" borderId="4" xfId="0" applyFont="1" applyBorder="1" applyAlignment="1">
      <alignment horizontal="center"/>
    </xf>
    <xf numFmtId="0" fontId="0" fillId="0" borderId="3" xfId="0" applyBorder="1" applyAlignment="1">
      <alignment horizontal="left"/>
    </xf>
    <xf numFmtId="0" fontId="1" fillId="0" borderId="0" xfId="0" applyFont="1" applyAlignment="1">
      <alignment horizontal="left"/>
    </xf>
    <xf numFmtId="0" fontId="1" fillId="0" borderId="4" xfId="0" applyFont="1" applyBorder="1" applyAlignment="1">
      <alignment horizontal="left"/>
    </xf>
    <xf numFmtId="0" fontId="1" fillId="0" borderId="3" xfId="0" applyFont="1" applyBorder="1" applyAlignment="1">
      <alignment horizontal="left"/>
    </xf>
    <xf numFmtId="0" fontId="0" fillId="0" borderId="61" xfId="0" applyBorder="1" applyAlignment="1">
      <alignment horizontal="left"/>
    </xf>
    <xf numFmtId="0" fontId="0" fillId="0" borderId="62" xfId="0" applyBorder="1" applyAlignment="1">
      <alignment horizontal="left"/>
    </xf>
    <xf numFmtId="0" fontId="0" fillId="0" borderId="4" xfId="0" applyBorder="1"/>
    <xf numFmtId="0" fontId="0" fillId="0" borderId="3" xfId="0" applyBorder="1"/>
    <xf numFmtId="0" fontId="1" fillId="0" borderId="3" xfId="0" quotePrefix="1" applyFont="1" applyBorder="1"/>
    <xf numFmtId="0" fontId="1" fillId="0" borderId="4" xfId="0" applyFont="1" applyBorder="1"/>
    <xf numFmtId="0" fontId="1" fillId="0" borderId="3" xfId="0" applyFont="1" applyBorder="1"/>
    <xf numFmtId="0" fontId="1" fillId="0" borderId="61" xfId="0" quotePrefix="1" applyFont="1" applyBorder="1"/>
    <xf numFmtId="0" fontId="0" fillId="0" borderId="62" xfId="0" applyBorder="1"/>
    <xf numFmtId="0" fontId="1" fillId="0" borderId="61" xfId="0" applyFont="1" applyBorder="1"/>
    <xf numFmtId="0" fontId="0" fillId="0" borderId="5" xfId="0" applyBorder="1"/>
    <xf numFmtId="0" fontId="0" fillId="0" borderId="6" xfId="0" applyBorder="1"/>
    <xf numFmtId="0" fontId="0" fillId="0" borderId="7" xfId="0" applyBorder="1"/>
    <xf numFmtId="0" fontId="1" fillId="0" borderId="5" xfId="0" applyFont="1" applyBorder="1"/>
    <xf numFmtId="2" fontId="0" fillId="4" borderId="0" xfId="0" applyNumberFormat="1" applyFill="1" applyAlignment="1">
      <alignment horizontal="right"/>
    </xf>
    <xf numFmtId="0" fontId="4" fillId="2" borderId="0" xfId="0" applyFont="1" applyFill="1" applyAlignment="1">
      <alignment horizontal="right" wrapText="1"/>
    </xf>
    <xf numFmtId="49" fontId="4" fillId="2" borderId="0" xfId="0" applyNumberFormat="1" applyFont="1" applyFill="1" applyAlignment="1">
      <alignment wrapText="1"/>
    </xf>
    <xf numFmtId="0" fontId="4" fillId="2" borderId="0" xfId="0" applyFont="1" applyFill="1" applyAlignment="1">
      <alignment vertical="center"/>
    </xf>
    <xf numFmtId="49" fontId="47" fillId="2" borderId="45" xfId="0" applyNumberFormat="1" applyFont="1" applyFill="1" applyBorder="1" applyAlignment="1">
      <alignment vertical="center" wrapText="1"/>
    </xf>
    <xf numFmtId="49" fontId="4" fillId="2" borderId="46" xfId="0" applyNumberFormat="1" applyFont="1" applyFill="1" applyBorder="1" applyAlignment="1">
      <alignment wrapText="1"/>
    </xf>
    <xf numFmtId="0" fontId="4" fillId="2" borderId="46" xfId="0" applyFont="1" applyFill="1" applyBorder="1" applyAlignment="1">
      <alignment vertical="center" wrapText="1"/>
    </xf>
    <xf numFmtId="0" fontId="4" fillId="2" borderId="47" xfId="0" applyFont="1" applyFill="1" applyBorder="1" applyAlignment="1">
      <alignment vertical="center" wrapText="1"/>
    </xf>
    <xf numFmtId="49" fontId="4" fillId="2" borderId="46" xfId="0" applyNumberFormat="1" applyFont="1" applyFill="1" applyBorder="1" applyAlignment="1">
      <alignment vertical="center" wrapText="1"/>
    </xf>
    <xf numFmtId="49" fontId="46" fillId="2" borderId="46" xfId="0" applyNumberFormat="1" applyFont="1" applyFill="1" applyBorder="1" applyAlignment="1">
      <alignment vertical="center" wrapText="1"/>
    </xf>
    <xf numFmtId="49" fontId="48" fillId="2" borderId="46" xfId="0" applyNumberFormat="1" applyFont="1" applyFill="1" applyBorder="1" applyAlignment="1">
      <alignment vertical="center" wrapText="1"/>
    </xf>
    <xf numFmtId="49" fontId="4" fillId="2" borderId="47" xfId="0" applyNumberFormat="1" applyFont="1" applyFill="1" applyBorder="1" applyAlignment="1">
      <alignment vertical="center" wrapText="1"/>
    </xf>
    <xf numFmtId="0" fontId="49" fillId="2" borderId="0" xfId="0" applyFont="1" applyFill="1" applyProtection="1">
      <protection hidden="1"/>
    </xf>
    <xf numFmtId="0" fontId="50" fillId="2" borderId="0" xfId="0" applyFont="1" applyFill="1" applyProtection="1">
      <protection hidden="1"/>
    </xf>
    <xf numFmtId="168" fontId="50" fillId="2" borderId="0" xfId="0" applyNumberFormat="1" applyFont="1" applyFill="1" applyAlignment="1" applyProtection="1">
      <alignment wrapText="1"/>
      <protection hidden="1"/>
    </xf>
    <xf numFmtId="168" fontId="50" fillId="2" borderId="0" xfId="0" applyNumberFormat="1" applyFont="1" applyFill="1" applyAlignment="1">
      <alignment wrapText="1"/>
    </xf>
    <xf numFmtId="168" fontId="50" fillId="2" borderId="0" xfId="0" applyNumberFormat="1" applyFont="1" applyFill="1" applyAlignment="1">
      <alignment horizontal="left" wrapText="1" indent="6"/>
    </xf>
    <xf numFmtId="168" fontId="50" fillId="2" borderId="0" xfId="0" applyNumberFormat="1" applyFont="1" applyFill="1" applyAlignment="1">
      <alignment horizontal="left" wrapText="1" indent="3"/>
    </xf>
    <xf numFmtId="168" fontId="53" fillId="2" borderId="0" xfId="0" applyNumberFormat="1" applyFont="1" applyFill="1" applyAlignment="1">
      <alignment wrapText="1"/>
    </xf>
    <xf numFmtId="168" fontId="50" fillId="2" borderId="0" xfId="0" applyNumberFormat="1" applyFont="1" applyFill="1" applyAlignment="1">
      <alignment horizontal="left" vertical="center" wrapText="1" indent="3"/>
    </xf>
    <xf numFmtId="168" fontId="50" fillId="2" borderId="0" xfId="0" applyNumberFormat="1" applyFont="1" applyFill="1" applyAlignment="1">
      <alignment horizontal="left" vertical="center" wrapText="1" indent="6"/>
    </xf>
    <xf numFmtId="168" fontId="50" fillId="2" borderId="0" xfId="0" applyNumberFormat="1" applyFont="1" applyFill="1" applyAlignment="1">
      <alignment vertical="center" wrapText="1"/>
    </xf>
    <xf numFmtId="168" fontId="53" fillId="2" borderId="0" xfId="0" applyNumberFormat="1" applyFont="1" applyFill="1" applyAlignment="1">
      <alignment vertical="center" wrapText="1"/>
    </xf>
    <xf numFmtId="168" fontId="51" fillId="2" borderId="0" xfId="0" applyNumberFormat="1" applyFont="1" applyFill="1" applyAlignment="1">
      <alignment vertical="center" wrapText="1"/>
    </xf>
    <xf numFmtId="168" fontId="51" fillId="2" borderId="0" xfId="0" applyNumberFormat="1" applyFont="1" applyFill="1" applyAlignment="1">
      <alignment horizontal="left" vertical="center" wrapText="1" indent="6"/>
    </xf>
    <xf numFmtId="168" fontId="51" fillId="2" borderId="0" xfId="0" applyNumberFormat="1" applyFont="1" applyFill="1" applyAlignment="1">
      <alignment horizontal="left" vertical="center" wrapText="1" indent="3"/>
    </xf>
    <xf numFmtId="168" fontId="50" fillId="2" borderId="0" xfId="0" applyNumberFormat="1" applyFont="1" applyFill="1" applyAlignment="1">
      <alignment horizontal="left" vertical="center" wrapText="1" indent="12"/>
    </xf>
    <xf numFmtId="168" fontId="54" fillId="2" borderId="0" xfId="0" applyNumberFormat="1" applyFont="1" applyFill="1" applyAlignment="1">
      <alignment horizontal="left" vertical="center" wrapText="1" indent="6"/>
    </xf>
    <xf numFmtId="168" fontId="52" fillId="2" borderId="0" xfId="0" applyNumberFormat="1" applyFont="1" applyFill="1" applyAlignment="1">
      <alignment horizontal="left" vertical="center" wrapText="1" indent="6"/>
    </xf>
    <xf numFmtId="0" fontId="51" fillId="2" borderId="0" xfId="0" applyFont="1" applyFill="1" applyAlignment="1">
      <alignment wrapText="1"/>
    </xf>
    <xf numFmtId="0" fontId="56" fillId="2" borderId="0" xfId="0" applyFont="1" applyFill="1" applyAlignment="1">
      <alignment wrapText="1"/>
    </xf>
    <xf numFmtId="2" fontId="0" fillId="0" borderId="4" xfId="0" applyNumberFormat="1" applyBorder="1"/>
    <xf numFmtId="2" fontId="0" fillId="0" borderId="7" xfId="0" applyNumberFormat="1" applyBorder="1"/>
    <xf numFmtId="2" fontId="0" fillId="0" borderId="6" xfId="0" applyNumberFormat="1" applyBorder="1"/>
    <xf numFmtId="0" fontId="1" fillId="0" borderId="58" xfId="0" quotePrefix="1" applyFont="1" applyBorder="1"/>
    <xf numFmtId="0" fontId="1" fillId="0" borderId="70" xfId="0" applyFont="1" applyBorder="1"/>
    <xf numFmtId="166" fontId="12" fillId="0" borderId="0" xfId="0" applyNumberFormat="1" applyFont="1"/>
    <xf numFmtId="0" fontId="39" fillId="2" borderId="0" xfId="0" applyFont="1" applyFill="1" applyAlignment="1">
      <alignment horizontal="center" vertical="center"/>
    </xf>
    <xf numFmtId="0" fontId="40" fillId="5" borderId="45" xfId="0" applyFont="1" applyFill="1" applyBorder="1" applyAlignment="1" applyProtection="1">
      <alignment horizontal="center" vertical="center"/>
      <protection locked="0"/>
    </xf>
    <xf numFmtId="0" fontId="40" fillId="5" borderId="47" xfId="0" applyFont="1" applyFill="1" applyBorder="1" applyAlignment="1" applyProtection="1">
      <alignment horizontal="center" vertical="center"/>
      <protection locked="0"/>
    </xf>
    <xf numFmtId="0" fontId="40" fillId="5" borderId="73" xfId="0" applyFont="1" applyFill="1" applyBorder="1" applyAlignment="1" applyProtection="1">
      <alignment horizontal="center" vertical="center"/>
      <protection locked="0"/>
    </xf>
    <xf numFmtId="165" fontId="0" fillId="2" borderId="0" xfId="0" applyNumberFormat="1" applyFill="1" applyAlignment="1">
      <alignment horizontal="right"/>
    </xf>
    <xf numFmtId="1" fontId="4" fillId="2" borderId="0" xfId="0" applyNumberFormat="1" applyFont="1" applyFill="1"/>
    <xf numFmtId="0" fontId="0" fillId="0" borderId="41" xfId="0" applyBorder="1"/>
    <xf numFmtId="165" fontId="4" fillId="2" borderId="0" xfId="0" applyNumberFormat="1" applyFont="1" applyFill="1" applyAlignment="1">
      <alignment horizontal="right"/>
    </xf>
    <xf numFmtId="0" fontId="57" fillId="2" borderId="0" xfId="0" applyFont="1" applyFill="1" applyAlignment="1">
      <alignment horizontal="left"/>
    </xf>
    <xf numFmtId="0" fontId="37" fillId="2" borderId="0" xfId="0" applyFont="1" applyFill="1"/>
    <xf numFmtId="0" fontId="37" fillId="2" borderId="0" xfId="0" applyFont="1" applyFill="1" applyAlignment="1">
      <alignment horizontal="center"/>
    </xf>
    <xf numFmtId="165" fontId="37" fillId="2" borderId="0" xfId="0" applyNumberFormat="1" applyFont="1" applyFill="1" applyAlignment="1">
      <alignment horizontal="center"/>
    </xf>
    <xf numFmtId="0" fontId="39" fillId="2" borderId="56" xfId="0" applyFont="1" applyFill="1" applyBorder="1"/>
    <xf numFmtId="165" fontId="19" fillId="2" borderId="74" xfId="0" applyNumberFormat="1" applyFont="1" applyFill="1" applyBorder="1" applyAlignment="1">
      <alignment horizontal="right"/>
    </xf>
    <xf numFmtId="2" fontId="57" fillId="2" borderId="74" xfId="0" applyNumberFormat="1" applyFont="1" applyFill="1" applyBorder="1" applyAlignment="1">
      <alignment horizontal="left"/>
    </xf>
    <xf numFmtId="0" fontId="19" fillId="2" borderId="74" xfId="0" applyFont="1" applyFill="1" applyBorder="1"/>
    <xf numFmtId="165" fontId="19" fillId="2" borderId="0" xfId="0" applyNumberFormat="1" applyFont="1" applyFill="1" applyAlignment="1">
      <alignment horizontal="right"/>
    </xf>
    <xf numFmtId="0" fontId="19" fillId="2" borderId="0" xfId="0" applyFont="1" applyFill="1" applyAlignment="1">
      <alignment horizontal="left"/>
    </xf>
    <xf numFmtId="0" fontId="4" fillId="2" borderId="0" xfId="0" applyFont="1" applyFill="1" applyAlignment="1">
      <alignment horizontal="left"/>
    </xf>
    <xf numFmtId="2" fontId="19" fillId="2" borderId="74" xfId="0" applyNumberFormat="1" applyFont="1" applyFill="1" applyBorder="1" applyAlignment="1">
      <alignment horizontal="left" vertical="center"/>
    </xf>
    <xf numFmtId="0" fontId="19" fillId="2" borderId="74" xfId="0" applyFont="1" applyFill="1" applyBorder="1" applyAlignment="1">
      <alignment horizontal="left" vertical="center"/>
    </xf>
    <xf numFmtId="0" fontId="4" fillId="2" borderId="0" xfId="0" applyFont="1" applyFill="1" applyAlignment="1">
      <alignment horizontal="center" vertical="center"/>
    </xf>
    <xf numFmtId="0" fontId="40" fillId="2" borderId="0" xfId="0" applyFont="1" applyFill="1" applyAlignment="1">
      <alignment horizontal="center" vertical="center"/>
    </xf>
    <xf numFmtId="2" fontId="57" fillId="2" borderId="49" xfId="0" applyNumberFormat="1" applyFont="1" applyFill="1" applyBorder="1" applyAlignment="1">
      <alignment horizontal="left" vertical="center"/>
    </xf>
    <xf numFmtId="0" fontId="57" fillId="2" borderId="49" xfId="0" applyFont="1" applyFill="1" applyBorder="1" applyAlignment="1">
      <alignment horizontal="left" vertical="center"/>
    </xf>
    <xf numFmtId="165" fontId="0" fillId="0" borderId="0" xfId="0" applyNumberFormat="1" applyAlignment="1">
      <alignment horizontal="right"/>
    </xf>
    <xf numFmtId="0" fontId="6" fillId="0" borderId="0" xfId="0" applyFont="1" applyAlignment="1">
      <alignment horizontal="left"/>
    </xf>
    <xf numFmtId="9" fontId="40" fillId="5" borderId="56" xfId="0" applyNumberFormat="1" applyFont="1" applyFill="1" applyBorder="1" applyProtection="1">
      <protection locked="0"/>
    </xf>
    <xf numFmtId="1" fontId="4" fillId="2" borderId="0" xfId="0" applyNumberFormat="1" applyFont="1" applyFill="1" applyAlignment="1">
      <alignment horizontal="left"/>
    </xf>
    <xf numFmtId="2" fontId="57" fillId="2" borderId="0" xfId="0" applyNumberFormat="1" applyFont="1" applyFill="1" applyAlignment="1">
      <alignment horizontal="left"/>
    </xf>
    <xf numFmtId="0" fontId="19" fillId="2" borderId="0" xfId="0" applyFont="1" applyFill="1" applyAlignment="1">
      <alignment horizontal="left" vertical="center"/>
    </xf>
    <xf numFmtId="0" fontId="57" fillId="2" borderId="0" xfId="0" applyFont="1" applyFill="1" applyAlignment="1">
      <alignment horizontal="left" vertical="center"/>
    </xf>
    <xf numFmtId="0" fontId="19" fillId="2" borderId="0" xfId="0" applyFont="1" applyFill="1" applyAlignment="1">
      <alignment horizontal="center" vertical="center"/>
    </xf>
    <xf numFmtId="0" fontId="19" fillId="2" borderId="56" xfId="0" applyFont="1" applyFill="1" applyBorder="1" applyAlignment="1">
      <alignment horizontal="center" vertical="center"/>
    </xf>
    <xf numFmtId="0" fontId="57" fillId="2" borderId="49" xfId="0" applyFont="1" applyFill="1" applyBorder="1" applyAlignment="1">
      <alignment horizontal="left"/>
    </xf>
    <xf numFmtId="0" fontId="60" fillId="5" borderId="56" xfId="0" applyFont="1" applyFill="1" applyBorder="1" applyProtection="1">
      <protection locked="0"/>
    </xf>
    <xf numFmtId="0" fontId="57" fillId="2" borderId="0" xfId="0" applyFont="1" applyFill="1" applyAlignment="1">
      <alignment horizontal="center"/>
    </xf>
    <xf numFmtId="0" fontId="6" fillId="0" borderId="0" xfId="0" applyFont="1" applyAlignment="1">
      <alignment horizontal="center"/>
    </xf>
    <xf numFmtId="170" fontId="39" fillId="2" borderId="56" xfId="0" applyNumberFormat="1" applyFont="1" applyFill="1" applyBorder="1" applyAlignment="1">
      <alignment horizontal="center" vertical="center"/>
    </xf>
    <xf numFmtId="2" fontId="0" fillId="0" borderId="0" xfId="0" applyNumberFormat="1" applyAlignment="1">
      <alignment horizontal="right"/>
    </xf>
    <xf numFmtId="1" fontId="0" fillId="0" borderId="0" xfId="0" applyNumberFormat="1" applyAlignment="1">
      <alignment horizontal="right"/>
    </xf>
    <xf numFmtId="165" fontId="39" fillId="2" borderId="0" xfId="0" applyNumberFormat="1" applyFont="1" applyFill="1" applyAlignment="1">
      <alignment horizontal="right" vertical="center"/>
    </xf>
    <xf numFmtId="2" fontId="57" fillId="2" borderId="0" xfId="0" applyNumberFormat="1" applyFont="1" applyFill="1" applyAlignment="1">
      <alignment horizontal="left" vertical="center"/>
    </xf>
    <xf numFmtId="0" fontId="61" fillId="2" borderId="0" xfId="0" applyFont="1" applyFill="1"/>
    <xf numFmtId="165" fontId="61" fillId="2" borderId="0" xfId="0" applyNumberFormat="1" applyFont="1" applyFill="1" applyAlignment="1">
      <alignment horizontal="right"/>
    </xf>
    <xf numFmtId="0" fontId="59" fillId="2" borderId="0" xfId="0" applyFont="1" applyFill="1" applyAlignment="1">
      <alignment horizontal="left"/>
    </xf>
    <xf numFmtId="0" fontId="63" fillId="2" borderId="0" xfId="0" applyFont="1" applyFill="1"/>
    <xf numFmtId="165" fontId="63" fillId="2" borderId="0" xfId="0" applyNumberFormat="1" applyFont="1" applyFill="1" applyAlignment="1">
      <alignment horizontal="center"/>
    </xf>
    <xf numFmtId="165" fontId="64" fillId="2" borderId="0" xfId="0" applyNumberFormat="1" applyFont="1" applyFill="1" applyAlignment="1">
      <alignment horizontal="right"/>
    </xf>
    <xf numFmtId="2" fontId="59" fillId="2" borderId="0" xfId="0" applyNumberFormat="1" applyFont="1" applyFill="1" applyAlignment="1">
      <alignment horizontal="left"/>
    </xf>
    <xf numFmtId="0" fontId="64" fillId="2" borderId="0" xfId="0" applyFont="1" applyFill="1"/>
    <xf numFmtId="0" fontId="64" fillId="2" borderId="0" xfId="0" applyFont="1" applyFill="1" applyAlignment="1">
      <alignment horizontal="left"/>
    </xf>
    <xf numFmtId="2" fontId="64" fillId="2" borderId="0" xfId="0" applyNumberFormat="1" applyFont="1" applyFill="1" applyAlignment="1">
      <alignment horizontal="left" vertical="center"/>
    </xf>
    <xf numFmtId="0" fontId="64" fillId="2" borderId="0" xfId="0" applyFont="1" applyFill="1" applyAlignment="1">
      <alignment horizontal="left" vertical="center"/>
    </xf>
    <xf numFmtId="0" fontId="65" fillId="2" borderId="0" xfId="0" applyFont="1" applyFill="1" applyAlignment="1">
      <alignment horizontal="center" vertical="center"/>
    </xf>
    <xf numFmtId="165" fontId="65" fillId="2" borderId="0" xfId="0" applyNumberFormat="1" applyFont="1" applyFill="1" applyAlignment="1">
      <alignment horizontal="right" vertical="center"/>
    </xf>
    <xf numFmtId="2" fontId="59" fillId="2" borderId="0" xfId="0" applyNumberFormat="1" applyFont="1" applyFill="1" applyAlignment="1">
      <alignment horizontal="left" vertical="center"/>
    </xf>
    <xf numFmtId="0" fontId="59" fillId="2" borderId="0" xfId="0" applyFont="1" applyFill="1" applyAlignment="1">
      <alignment horizontal="left" vertical="center"/>
    </xf>
    <xf numFmtId="0" fontId="61" fillId="2" borderId="0" xfId="0" applyFont="1" applyFill="1" applyAlignment="1">
      <alignment horizontal="center" vertical="center"/>
    </xf>
    <xf numFmtId="0" fontId="61" fillId="0" borderId="0" xfId="0" applyFont="1"/>
    <xf numFmtId="165" fontId="61" fillId="0" borderId="0" xfId="0" applyNumberFormat="1" applyFont="1" applyAlignment="1">
      <alignment horizontal="right"/>
    </xf>
    <xf numFmtId="0" fontId="59" fillId="0" borderId="0" xfId="0" applyFont="1" applyAlignment="1">
      <alignment horizontal="left"/>
    </xf>
    <xf numFmtId="169" fontId="40" fillId="5" borderId="45" xfId="0" applyNumberFormat="1" applyFont="1" applyFill="1" applyBorder="1" applyAlignment="1" applyProtection="1">
      <alignment horizontal="center" vertical="center"/>
      <protection locked="0"/>
    </xf>
    <xf numFmtId="169" fontId="40" fillId="5" borderId="75" xfId="0" applyNumberFormat="1" applyFont="1" applyFill="1" applyBorder="1" applyAlignment="1" applyProtection="1">
      <alignment horizontal="center" vertical="center"/>
      <protection locked="0"/>
    </xf>
    <xf numFmtId="169" fontId="40" fillId="5" borderId="56" xfId="0" applyNumberFormat="1" applyFont="1" applyFill="1" applyBorder="1" applyAlignment="1" applyProtection="1">
      <alignment horizontal="center" vertical="center"/>
      <protection locked="0"/>
    </xf>
    <xf numFmtId="0" fontId="60" fillId="7" borderId="56" xfId="0" applyFont="1" applyFill="1" applyBorder="1" applyAlignment="1" applyProtection="1">
      <alignment horizontal="right"/>
      <protection locked="0"/>
    </xf>
    <xf numFmtId="170" fontId="39" fillId="2" borderId="49" xfId="0" applyNumberFormat="1" applyFont="1" applyFill="1" applyBorder="1" applyAlignment="1">
      <alignment horizontal="center" vertical="center"/>
    </xf>
    <xf numFmtId="171" fontId="40" fillId="5" borderId="77" xfId="0" applyNumberFormat="1" applyFont="1" applyFill="1" applyBorder="1" applyAlignment="1" applyProtection="1">
      <alignment horizontal="center" vertical="center"/>
      <protection locked="0"/>
    </xf>
    <xf numFmtId="171" fontId="40" fillId="5" borderId="76" xfId="0" applyNumberFormat="1" applyFont="1" applyFill="1" applyBorder="1" applyAlignment="1" applyProtection="1">
      <alignment horizontal="center" vertical="center"/>
      <protection locked="0"/>
    </xf>
    <xf numFmtId="171" fontId="40" fillId="5" borderId="75" xfId="0" applyNumberFormat="1" applyFont="1" applyFill="1" applyBorder="1" applyAlignment="1" applyProtection="1">
      <alignment horizontal="center" vertical="center"/>
      <protection locked="0"/>
    </xf>
    <xf numFmtId="171" fontId="40" fillId="5" borderId="56" xfId="0" applyNumberFormat="1" applyFont="1" applyFill="1" applyBorder="1" applyAlignment="1" applyProtection="1">
      <alignment horizontal="center" vertical="center"/>
      <protection locked="0"/>
    </xf>
    <xf numFmtId="170" fontId="39" fillId="2" borderId="0" xfId="0" applyNumberFormat="1" applyFont="1" applyFill="1" applyAlignment="1">
      <alignment horizontal="center" vertical="center"/>
    </xf>
    <xf numFmtId="169" fontId="40" fillId="2" borderId="0" xfId="0" applyNumberFormat="1" applyFont="1" applyFill="1" applyAlignment="1">
      <alignment horizontal="center" vertical="center"/>
    </xf>
    <xf numFmtId="0" fontId="67" fillId="8" borderId="0" xfId="0" applyFont="1" applyFill="1"/>
    <xf numFmtId="0" fontId="67" fillId="8" borderId="0" xfId="0" applyFont="1" applyFill="1" applyProtection="1">
      <protection hidden="1"/>
    </xf>
    <xf numFmtId="0" fontId="1" fillId="8" borderId="0" xfId="0" applyFont="1" applyFill="1" applyProtection="1">
      <protection hidden="1"/>
    </xf>
    <xf numFmtId="0" fontId="68" fillId="8" borderId="0" xfId="0" applyFont="1" applyFill="1" applyAlignment="1">
      <alignment horizontal="left"/>
    </xf>
    <xf numFmtId="0" fontId="66" fillId="8" borderId="0" xfId="0" applyFont="1" applyFill="1" applyAlignment="1">
      <alignment horizontal="center"/>
    </xf>
    <xf numFmtId="0" fontId="67" fillId="8" borderId="0" xfId="0" applyFont="1" applyFill="1" applyAlignment="1" applyProtection="1">
      <alignment horizontal="right" vertical="center"/>
      <protection hidden="1"/>
    </xf>
    <xf numFmtId="171" fontId="40" fillId="2" borderId="0" xfId="0" applyNumberFormat="1" applyFont="1" applyFill="1" applyAlignment="1">
      <alignment horizontal="center" vertical="center"/>
    </xf>
    <xf numFmtId="0" fontId="37" fillId="2" borderId="56" xfId="0" applyFont="1" applyFill="1" applyBorder="1" applyAlignment="1">
      <alignment horizontal="center"/>
    </xf>
    <xf numFmtId="0" fontId="17" fillId="2" borderId="0" xfId="0" applyFont="1" applyFill="1" applyAlignment="1">
      <alignment horizontal="center"/>
    </xf>
    <xf numFmtId="0" fontId="39" fillId="2" borderId="56" xfId="0" applyFont="1" applyFill="1" applyBorder="1" applyAlignment="1" applyProtection="1">
      <alignment horizontal="center" vertical="center"/>
      <protection locked="0"/>
    </xf>
    <xf numFmtId="1" fontId="39" fillId="2" borderId="56" xfId="0" applyNumberFormat="1" applyFont="1" applyFill="1" applyBorder="1" applyAlignment="1">
      <alignment horizontal="center" vertical="center"/>
    </xf>
    <xf numFmtId="0" fontId="0" fillId="2" borderId="0" xfId="0" applyFill="1" applyAlignment="1">
      <alignment horizontal="center" vertical="center"/>
    </xf>
    <xf numFmtId="167" fontId="69" fillId="2" borderId="0" xfId="0" applyNumberFormat="1" applyFont="1" applyFill="1"/>
    <xf numFmtId="0" fontId="69" fillId="2" borderId="0" xfId="0" applyFont="1" applyFill="1"/>
    <xf numFmtId="0" fontId="70" fillId="2" borderId="0" xfId="0" applyFont="1" applyFill="1"/>
    <xf numFmtId="164" fontId="0" fillId="4" borderId="79" xfId="0" applyNumberFormat="1" applyFill="1" applyBorder="1" applyAlignment="1">
      <alignment horizontal="center"/>
    </xf>
    <xf numFmtId="0" fontId="0" fillId="4" borderId="0" xfId="0" applyFill="1"/>
    <xf numFmtId="0" fontId="0" fillId="4" borderId="7" xfId="0" applyFill="1" applyBorder="1"/>
    <xf numFmtId="0" fontId="11" fillId="3" borderId="13" xfId="0" applyFont="1" applyFill="1" applyBorder="1"/>
    <xf numFmtId="165" fontId="4" fillId="2" borderId="0" xfId="0" quotePrefix="1" applyNumberFormat="1" applyFont="1" applyFill="1" applyAlignment="1">
      <alignment wrapText="1"/>
    </xf>
    <xf numFmtId="1" fontId="19" fillId="2" borderId="74" xfId="0" applyNumberFormat="1" applyFont="1" applyFill="1" applyBorder="1" applyAlignment="1">
      <alignment horizontal="center"/>
    </xf>
    <xf numFmtId="0" fontId="77" fillId="0" borderId="0" xfId="0" applyFont="1"/>
    <xf numFmtId="0" fontId="0" fillId="0" borderId="90" xfId="0" applyBorder="1"/>
    <xf numFmtId="0" fontId="0" fillId="0" borderId="91" xfId="0" applyBorder="1"/>
    <xf numFmtId="0" fontId="4" fillId="2" borderId="0" xfId="0" applyFont="1" applyFill="1" applyAlignment="1">
      <alignment vertical="center" wrapText="1"/>
    </xf>
    <xf numFmtId="0" fontId="74" fillId="0" borderId="0" xfId="0" applyFont="1" applyAlignment="1">
      <alignment horizontal="center" vertical="center"/>
    </xf>
    <xf numFmtId="0" fontId="0" fillId="0" borderId="80" xfId="0" applyBorder="1"/>
    <xf numFmtId="0" fontId="0" fillId="0" borderId="17" xfId="0" applyBorder="1"/>
    <xf numFmtId="0" fontId="0" fillId="0" borderId="82" xfId="0" applyBorder="1"/>
    <xf numFmtId="0" fontId="0" fillId="0" borderId="16" xfId="0" applyBorder="1"/>
    <xf numFmtId="0" fontId="0" fillId="0" borderId="18" xfId="0" applyBorder="1"/>
    <xf numFmtId="0" fontId="0" fillId="0" borderId="99" xfId="0" applyBorder="1"/>
    <xf numFmtId="0" fontId="0" fillId="0" borderId="57" xfId="0" applyBorder="1" applyAlignment="1">
      <alignment vertical="center"/>
    </xf>
    <xf numFmtId="0" fontId="0" fillId="0" borderId="28" xfId="0" applyBorder="1"/>
    <xf numFmtId="164" fontId="75" fillId="0" borderId="0" xfId="0" applyNumberFormat="1" applyFont="1" applyAlignment="1">
      <alignment horizontal="center" vertical="center"/>
    </xf>
    <xf numFmtId="0" fontId="0" fillId="0" borderId="58" xfId="0" applyBorder="1" applyAlignment="1">
      <alignment vertical="center"/>
    </xf>
    <xf numFmtId="0" fontId="0" fillId="0" borderId="60" xfId="0" applyBorder="1" applyAlignment="1">
      <alignment vertical="center"/>
    </xf>
    <xf numFmtId="165" fontId="0" fillId="0" borderId="12" xfId="0" applyNumberFormat="1" applyBorder="1"/>
    <xf numFmtId="0" fontId="0" fillId="0" borderId="13" xfId="0" applyBorder="1"/>
    <xf numFmtId="0" fontId="0" fillId="0" borderId="14" xfId="0" applyBorder="1"/>
    <xf numFmtId="0" fontId="0" fillId="0" borderId="65" xfId="0" applyBorder="1"/>
    <xf numFmtId="0" fontId="0" fillId="0" borderId="0" xfId="0" applyAlignment="1">
      <alignment vertical="center"/>
    </xf>
    <xf numFmtId="0" fontId="0" fillId="0" borderId="61" xfId="0" applyBorder="1" applyAlignment="1">
      <alignment vertical="center"/>
    </xf>
    <xf numFmtId="0" fontId="0" fillId="0" borderId="62" xfId="0" applyBorder="1" applyAlignment="1">
      <alignment vertical="center"/>
    </xf>
    <xf numFmtId="0" fontId="0" fillId="0" borderId="70" xfId="0" applyBorder="1" applyAlignment="1">
      <alignment vertical="center"/>
    </xf>
    <xf numFmtId="0" fontId="0" fillId="0" borderId="89" xfId="0" applyBorder="1" applyAlignment="1">
      <alignment vertical="center"/>
    </xf>
    <xf numFmtId="0" fontId="0" fillId="0" borderId="30" xfId="0" applyBorder="1"/>
    <xf numFmtId="165" fontId="0" fillId="0" borderId="83" xfId="0" applyNumberFormat="1" applyBorder="1"/>
    <xf numFmtId="0" fontId="0" fillId="0" borderId="84" xfId="0" applyBorder="1"/>
    <xf numFmtId="0" fontId="0" fillId="0" borderId="85" xfId="0" applyBorder="1"/>
    <xf numFmtId="0" fontId="0" fillId="0" borderId="86" xfId="0" applyBorder="1"/>
    <xf numFmtId="0" fontId="73" fillId="0" borderId="0" xfId="0" applyFont="1" applyAlignment="1">
      <alignment horizontal="center" vertical="center" textRotation="90"/>
    </xf>
    <xf numFmtId="165" fontId="0" fillId="0" borderId="0" xfId="0" applyNumberFormat="1"/>
    <xf numFmtId="0" fontId="75" fillId="0" borderId="0" xfId="0" applyFont="1" applyAlignment="1">
      <alignment horizontal="center"/>
    </xf>
    <xf numFmtId="0" fontId="0" fillId="0" borderId="57" xfId="0" applyBorder="1"/>
    <xf numFmtId="0" fontId="0" fillId="0" borderId="61" xfId="0" applyBorder="1"/>
    <xf numFmtId="0" fontId="0" fillId="0" borderId="79" xfId="0" applyBorder="1"/>
    <xf numFmtId="0" fontId="0" fillId="0" borderId="87" xfId="0" applyBorder="1"/>
    <xf numFmtId="0" fontId="0" fillId="0" borderId="88" xfId="0" applyBorder="1"/>
    <xf numFmtId="0" fontId="74" fillId="0" borderId="0" xfId="0" applyFont="1" applyAlignment="1">
      <alignment vertical="center"/>
    </xf>
    <xf numFmtId="49" fontId="0" fillId="0" borderId="0" xfId="0" applyNumberFormat="1" applyAlignment="1">
      <alignment horizontal="left" vertical="center" wrapText="1"/>
    </xf>
    <xf numFmtId="1" fontId="75" fillId="0" borderId="0" xfId="0" applyNumberFormat="1" applyFont="1" applyAlignment="1">
      <alignment horizontal="center"/>
    </xf>
    <xf numFmtId="0" fontId="75" fillId="0" borderId="0" xfId="0" applyFont="1"/>
    <xf numFmtId="0" fontId="0" fillId="0" borderId="57" xfId="0" applyBorder="1" applyAlignment="1">
      <alignment horizontal="left" vertical="center"/>
    </xf>
    <xf numFmtId="49" fontId="0" fillId="0" borderId="46" xfId="0" applyNumberFormat="1" applyBorder="1" applyAlignment="1">
      <alignment wrapText="1"/>
    </xf>
    <xf numFmtId="0" fontId="78" fillId="0" borderId="90" xfId="0" applyFont="1" applyBorder="1"/>
    <xf numFmtId="0" fontId="0" fillId="0" borderId="92" xfId="0" applyBorder="1"/>
    <xf numFmtId="0" fontId="43" fillId="0" borderId="0" xfId="0" applyFont="1" applyAlignment="1">
      <alignment vertical="center"/>
    </xf>
    <xf numFmtId="0" fontId="0" fillId="0" borderId="0" xfId="0" applyAlignment="1">
      <alignment horizontal="left" vertical="center" wrapText="1"/>
    </xf>
    <xf numFmtId="0" fontId="78" fillId="0" borderId="57" xfId="0" applyFont="1" applyBorder="1"/>
    <xf numFmtId="0" fontId="78" fillId="0" borderId="0" xfId="0" applyFont="1" applyAlignment="1">
      <alignment horizontal="center" vertical="center"/>
    </xf>
    <xf numFmtId="0" fontId="43" fillId="0" borderId="0" xfId="0" applyFont="1" applyAlignment="1">
      <alignment horizontal="center" vertical="center"/>
    </xf>
    <xf numFmtId="0" fontId="76" fillId="0" borderId="102" xfId="0" applyFont="1" applyBorder="1" applyProtection="1">
      <protection locked="0"/>
    </xf>
    <xf numFmtId="0" fontId="4" fillId="2" borderId="0" xfId="0" applyFont="1" applyFill="1" applyAlignment="1" applyProtection="1">
      <alignment horizontal="center" vertical="center"/>
      <protection hidden="1"/>
    </xf>
    <xf numFmtId="0" fontId="67" fillId="8" borderId="0" xfId="0" applyFont="1" applyFill="1" applyAlignment="1" applyProtection="1">
      <alignment horizontal="center" vertical="center"/>
      <protection hidden="1"/>
    </xf>
    <xf numFmtId="0" fontId="67" fillId="8" borderId="0" xfId="0" applyFont="1" applyFill="1" applyAlignment="1">
      <alignment horizontal="right"/>
    </xf>
    <xf numFmtId="0" fontId="79" fillId="0" borderId="103" xfId="0" applyFont="1" applyBorder="1"/>
    <xf numFmtId="0" fontId="79" fillId="0" borderId="0" xfId="0" applyFont="1"/>
    <xf numFmtId="0" fontId="80" fillId="0" borderId="0" xfId="0" applyFont="1"/>
    <xf numFmtId="171" fontId="40" fillId="5" borderId="78" xfId="0" applyNumberFormat="1" applyFont="1" applyFill="1" applyBorder="1" applyAlignment="1" applyProtection="1">
      <alignment horizontal="center" vertical="center"/>
      <protection locked="0"/>
    </xf>
    <xf numFmtId="2" fontId="39" fillId="2" borderId="48" xfId="0" applyNumberFormat="1" applyFont="1" applyFill="1" applyBorder="1" applyAlignment="1">
      <alignment horizontal="right" vertical="center"/>
    </xf>
    <xf numFmtId="2" fontId="19" fillId="2" borderId="74" xfId="0" applyNumberFormat="1" applyFont="1" applyFill="1" applyBorder="1" applyAlignment="1">
      <alignment horizontal="right"/>
    </xf>
    <xf numFmtId="172" fontId="25" fillId="0" borderId="49" xfId="0" applyNumberFormat="1" applyFont="1" applyBorder="1" applyAlignment="1" applyProtection="1">
      <alignment horizontal="center" vertical="center"/>
      <protection hidden="1"/>
    </xf>
    <xf numFmtId="2" fontId="71" fillId="2" borderId="0" xfId="0" applyNumberFormat="1" applyFont="1" applyFill="1"/>
    <xf numFmtId="0" fontId="20" fillId="2" borderId="0" xfId="0" applyFont="1" applyFill="1" applyAlignment="1">
      <alignment vertical="center" wrapText="1"/>
    </xf>
    <xf numFmtId="172" fontId="25" fillId="0" borderId="109" xfId="0" applyNumberFormat="1" applyFont="1" applyBorder="1" applyAlignment="1">
      <alignment horizontal="center" vertical="center"/>
    </xf>
    <xf numFmtId="0" fontId="1" fillId="0" borderId="103" xfId="0" applyFont="1" applyBorder="1"/>
    <xf numFmtId="167" fontId="39" fillId="2" borderId="0" xfId="0" applyNumberFormat="1" applyFont="1" applyFill="1"/>
    <xf numFmtId="0" fontId="1" fillId="0" borderId="104" xfId="0" applyFont="1" applyBorder="1"/>
    <xf numFmtId="0" fontId="1" fillId="0" borderId="105" xfId="0" applyFont="1" applyBorder="1"/>
    <xf numFmtId="0" fontId="1" fillId="0" borderId="106" xfId="0" applyFont="1" applyBorder="1"/>
    <xf numFmtId="0" fontId="0" fillId="0" borderId="61" xfId="0" applyBorder="1" applyAlignment="1">
      <alignment horizontal="left" vertical="center" wrapText="1"/>
    </xf>
    <xf numFmtId="0" fontId="0" fillId="0" borderId="0" xfId="0" applyAlignment="1">
      <alignment horizontal="left" vertical="center" wrapText="1"/>
    </xf>
    <xf numFmtId="0" fontId="0" fillId="0" borderId="62" xfId="0" applyBorder="1" applyAlignment="1">
      <alignment horizontal="left" vertical="center" wrapText="1"/>
    </xf>
    <xf numFmtId="0" fontId="0" fillId="0" borderId="70" xfId="0" applyBorder="1" applyAlignment="1">
      <alignment horizontal="left" vertical="center" wrapText="1"/>
    </xf>
    <xf numFmtId="0" fontId="0" fillId="0" borderId="92" xfId="0" applyBorder="1" applyAlignment="1">
      <alignment horizontal="left" vertical="center" wrapText="1"/>
    </xf>
    <xf numFmtId="0" fontId="0" fillId="0" borderId="89" xfId="0" applyBorder="1" applyAlignment="1">
      <alignment horizontal="left" vertical="center" wrapText="1"/>
    </xf>
    <xf numFmtId="49" fontId="45" fillId="0" borderId="93" xfId="0" applyNumberFormat="1" applyFont="1" applyBorder="1" applyAlignment="1">
      <alignment horizontal="center" vertical="center" wrapText="1"/>
    </xf>
    <xf numFmtId="49" fontId="45" fillId="0" borderId="94" xfId="0" applyNumberFormat="1" applyFont="1" applyBorder="1" applyAlignment="1">
      <alignment horizontal="center" vertical="center" wrapText="1"/>
    </xf>
    <xf numFmtId="49" fontId="45" fillId="0" borderId="95" xfId="0" applyNumberFormat="1" applyFont="1" applyBorder="1" applyAlignment="1">
      <alignment horizontal="center" vertical="center" wrapText="1"/>
    </xf>
    <xf numFmtId="49" fontId="45" fillId="0" borderId="96" xfId="0" applyNumberFormat="1" applyFont="1" applyBorder="1" applyAlignment="1">
      <alignment horizontal="center" vertical="center" wrapText="1"/>
    </xf>
    <xf numFmtId="49" fontId="45" fillId="0" borderId="97" xfId="0" applyNumberFormat="1" applyFont="1" applyBorder="1" applyAlignment="1">
      <alignment horizontal="center" vertical="center" wrapText="1"/>
    </xf>
    <xf numFmtId="49" fontId="45" fillId="0" borderId="98" xfId="0" applyNumberFormat="1" applyFont="1" applyBorder="1" applyAlignment="1">
      <alignment horizontal="center" vertical="center" wrapText="1"/>
    </xf>
    <xf numFmtId="0" fontId="0" fillId="0" borderId="58" xfId="0" applyBorder="1" applyAlignment="1">
      <alignment horizontal="left" vertical="center" wrapText="1"/>
    </xf>
    <xf numFmtId="0" fontId="0" fillId="0" borderId="59" xfId="0" applyBorder="1" applyAlignment="1">
      <alignment horizontal="left" vertical="center" wrapText="1"/>
    </xf>
    <xf numFmtId="0" fontId="0" fillId="0" borderId="60" xfId="0" applyBorder="1" applyAlignment="1">
      <alignment horizontal="left" vertical="center" wrapText="1"/>
    </xf>
    <xf numFmtId="0" fontId="6" fillId="0" borderId="58" xfId="0" applyFont="1" applyBorder="1" applyAlignment="1">
      <alignment horizontal="left" vertical="center" wrapText="1"/>
    </xf>
    <xf numFmtId="0" fontId="6" fillId="0" borderId="59" xfId="0" applyFont="1" applyBorder="1" applyAlignment="1">
      <alignment horizontal="left" vertical="center" wrapText="1"/>
    </xf>
    <xf numFmtId="0" fontId="6" fillId="0" borderId="60" xfId="0" applyFont="1" applyBorder="1" applyAlignment="1">
      <alignment horizontal="left" vertical="center" wrapText="1"/>
    </xf>
    <xf numFmtId="0" fontId="6" fillId="0" borderId="61" xfId="0" applyFont="1" applyBorder="1" applyAlignment="1">
      <alignment horizontal="left" vertical="center" wrapText="1"/>
    </xf>
    <xf numFmtId="0" fontId="6" fillId="0" borderId="0" xfId="0" applyFont="1" applyAlignment="1">
      <alignment horizontal="left" vertical="center" wrapText="1"/>
    </xf>
    <xf numFmtId="0" fontId="6" fillId="0" borderId="62" xfId="0" applyFont="1" applyBorder="1" applyAlignment="1">
      <alignment horizontal="left" vertical="center" wrapText="1"/>
    </xf>
    <xf numFmtId="0" fontId="6" fillId="0" borderId="70" xfId="0" applyFont="1" applyBorder="1" applyAlignment="1">
      <alignment horizontal="left" vertical="center" wrapText="1"/>
    </xf>
    <xf numFmtId="0" fontId="6" fillId="0" borderId="92" xfId="0" applyFont="1" applyBorder="1" applyAlignment="1">
      <alignment horizontal="left" vertical="center" wrapText="1"/>
    </xf>
    <xf numFmtId="0" fontId="6" fillId="0" borderId="89" xfId="0" applyFont="1" applyBorder="1" applyAlignment="1">
      <alignment horizontal="left" vertical="center" wrapText="1"/>
    </xf>
    <xf numFmtId="0" fontId="78" fillId="0" borderId="58" xfId="0" applyFont="1" applyBorder="1" applyAlignment="1">
      <alignment horizontal="center" vertical="center"/>
    </xf>
    <xf numFmtId="0" fontId="78" fillId="0" borderId="60" xfId="0" applyFont="1" applyBorder="1" applyAlignment="1">
      <alignment horizontal="center" vertical="center"/>
    </xf>
    <xf numFmtId="0" fontId="78" fillId="0" borderId="70" xfId="0" applyFont="1" applyBorder="1" applyAlignment="1">
      <alignment horizontal="center" vertical="center"/>
    </xf>
    <xf numFmtId="0" fontId="78" fillId="0" borderId="89" xfId="0" applyFont="1" applyBorder="1" applyAlignment="1">
      <alignment horizontal="center" vertical="center"/>
    </xf>
    <xf numFmtId="0" fontId="43" fillId="0" borderId="58" xfId="0" applyFont="1" applyBorder="1" applyAlignment="1">
      <alignment horizontal="center" vertical="center"/>
    </xf>
    <xf numFmtId="0" fontId="43" fillId="0" borderId="60" xfId="0" applyFont="1" applyBorder="1" applyAlignment="1">
      <alignment horizontal="center" vertical="center"/>
    </xf>
    <xf numFmtId="0" fontId="43" fillId="0" borderId="61" xfId="0" applyFont="1" applyBorder="1" applyAlignment="1">
      <alignment horizontal="center" vertical="center"/>
    </xf>
    <xf numFmtId="0" fontId="43" fillId="0" borderId="62" xfId="0" applyFont="1" applyBorder="1" applyAlignment="1">
      <alignment horizontal="center" vertical="center"/>
    </xf>
    <xf numFmtId="0" fontId="43" fillId="0" borderId="70" xfId="0" applyFont="1" applyBorder="1" applyAlignment="1">
      <alignment horizontal="center" vertical="center"/>
    </xf>
    <xf numFmtId="0" fontId="43" fillId="0" borderId="89" xfId="0" applyFont="1" applyBorder="1" applyAlignment="1">
      <alignment horizontal="center" vertical="center"/>
    </xf>
    <xf numFmtId="0" fontId="78" fillId="0" borderId="58" xfId="0" applyFont="1" applyBorder="1" applyAlignment="1">
      <alignment horizontal="center"/>
    </xf>
    <xf numFmtId="0" fontId="78" fillId="0" borderId="60" xfId="0" applyFont="1" applyBorder="1" applyAlignment="1">
      <alignment horizontal="center"/>
    </xf>
    <xf numFmtId="0" fontId="74" fillId="0" borderId="93" xfId="0" applyFont="1" applyBorder="1" applyAlignment="1">
      <alignment horizontal="center" vertical="center"/>
    </xf>
    <xf numFmtId="0" fontId="74" fillId="0" borderId="96" xfId="0" applyFont="1" applyBorder="1" applyAlignment="1">
      <alignment horizontal="center" vertical="center"/>
    </xf>
    <xf numFmtId="0" fontId="74" fillId="0" borderId="94" xfId="0" applyFont="1" applyBorder="1" applyAlignment="1">
      <alignment horizontal="left" vertical="center"/>
    </xf>
    <xf numFmtId="0" fontId="74" fillId="0" borderId="95" xfId="0" applyFont="1" applyBorder="1" applyAlignment="1">
      <alignment horizontal="left" vertical="center"/>
    </xf>
    <xf numFmtId="0" fontId="74" fillId="0" borderId="97" xfId="0" applyFont="1" applyBorder="1" applyAlignment="1">
      <alignment horizontal="left" vertical="center"/>
    </xf>
    <xf numFmtId="0" fontId="74" fillId="0" borderId="98" xfId="0" applyFont="1" applyBorder="1" applyAlignment="1">
      <alignment horizontal="left" vertical="center"/>
    </xf>
    <xf numFmtId="10" fontId="72" fillId="0" borderId="61" xfId="0" applyNumberFormat="1" applyFont="1" applyBorder="1" applyAlignment="1">
      <alignment horizontal="center" vertical="center"/>
    </xf>
    <xf numFmtId="10" fontId="72" fillId="0" borderId="0" xfId="0" applyNumberFormat="1" applyFont="1" applyAlignment="1">
      <alignment horizontal="center" vertical="center"/>
    </xf>
    <xf numFmtId="10" fontId="72" fillId="0" borderId="70" xfId="0" applyNumberFormat="1" applyFont="1" applyBorder="1" applyAlignment="1">
      <alignment horizontal="center" vertical="center"/>
    </xf>
    <xf numFmtId="10" fontId="72" fillId="0" borderId="92" xfId="0" applyNumberFormat="1" applyFont="1" applyBorder="1" applyAlignment="1">
      <alignment horizontal="center" vertical="center"/>
    </xf>
    <xf numFmtId="0" fontId="74" fillId="0" borderId="94" xfId="0" applyFont="1" applyBorder="1" applyAlignment="1">
      <alignment horizontal="center" vertical="center"/>
    </xf>
    <xf numFmtId="0" fontId="74" fillId="0" borderId="95" xfId="0" applyFont="1" applyBorder="1" applyAlignment="1">
      <alignment horizontal="center" vertical="center"/>
    </xf>
    <xf numFmtId="0" fontId="74" fillId="0" borderId="97" xfId="0" applyFont="1" applyBorder="1" applyAlignment="1">
      <alignment horizontal="center" vertical="center"/>
    </xf>
    <xf numFmtId="0" fontId="74" fillId="0" borderId="98" xfId="0" applyFont="1" applyBorder="1" applyAlignment="1">
      <alignment horizontal="center" vertical="center"/>
    </xf>
    <xf numFmtId="49" fontId="0" fillId="0" borderId="93" xfId="0" applyNumberFormat="1" applyBorder="1" applyAlignment="1">
      <alignment horizontal="center" vertical="center" wrapText="1"/>
    </xf>
    <xf numFmtId="49" fontId="0" fillId="0" borderId="96" xfId="0" applyNumberFormat="1" applyBorder="1" applyAlignment="1">
      <alignment horizontal="center" vertical="center" wrapText="1"/>
    </xf>
    <xf numFmtId="0" fontId="75" fillId="0" borderId="94" xfId="0" applyFont="1" applyBorder="1" applyAlignment="1">
      <alignment horizontal="center"/>
    </xf>
    <xf numFmtId="0" fontId="75" fillId="0" borderId="97" xfId="0" applyFont="1" applyBorder="1" applyAlignment="1">
      <alignment horizontal="center"/>
    </xf>
    <xf numFmtId="0" fontId="75" fillId="0" borderId="95" xfId="0" applyFont="1" applyBorder="1" applyAlignment="1">
      <alignment horizontal="center"/>
    </xf>
    <xf numFmtId="0" fontId="75" fillId="0" borderId="98" xfId="0" applyFont="1" applyBorder="1" applyAlignment="1">
      <alignment horizontal="center"/>
    </xf>
    <xf numFmtId="0" fontId="0" fillId="0" borderId="79" xfId="0" applyBorder="1" applyAlignment="1">
      <alignment horizontal="center"/>
    </xf>
    <xf numFmtId="0" fontId="0" fillId="0" borderId="87" xfId="0" applyBorder="1" applyAlignment="1">
      <alignment horizontal="center"/>
    </xf>
    <xf numFmtId="0" fontId="0" fillId="0" borderId="88" xfId="0" applyBorder="1" applyAlignment="1">
      <alignment horizontal="center"/>
    </xf>
    <xf numFmtId="0" fontId="0" fillId="0" borderId="58" xfId="0" applyBorder="1" applyAlignment="1">
      <alignment horizontal="left"/>
    </xf>
    <xf numFmtId="0" fontId="0" fillId="0" borderId="59" xfId="0" applyBorder="1" applyAlignment="1">
      <alignment horizontal="left"/>
    </xf>
    <xf numFmtId="0" fontId="73" fillId="0" borderId="81" xfId="0" applyFont="1" applyBorder="1" applyAlignment="1">
      <alignment horizontal="center" vertical="center" textRotation="90"/>
    </xf>
    <xf numFmtId="0" fontId="73" fillId="0" borderId="12" xfId="0" applyFont="1" applyBorder="1" applyAlignment="1">
      <alignment horizontal="center" vertical="center" textRotation="90"/>
    </xf>
    <xf numFmtId="0" fontId="73" fillId="0" borderId="83" xfId="0" applyFont="1" applyBorder="1" applyAlignment="1">
      <alignment horizontal="center" vertical="center" textRotation="90"/>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65" xfId="0" applyBorder="1" applyAlignment="1">
      <alignment horizontal="center"/>
    </xf>
    <xf numFmtId="164" fontId="75" fillId="0" borderId="100" xfId="0" applyNumberFormat="1" applyFont="1" applyBorder="1" applyAlignment="1">
      <alignment horizontal="center" vertical="center"/>
    </xf>
    <xf numFmtId="164" fontId="75" fillId="0" borderId="101" xfId="0" applyNumberFormat="1" applyFont="1" applyBorder="1" applyAlignment="1">
      <alignment horizontal="center" vertical="center"/>
    </xf>
    <xf numFmtId="0" fontId="0" fillId="0" borderId="94" xfId="0" applyBorder="1" applyAlignment="1">
      <alignment horizontal="center"/>
    </xf>
    <xf numFmtId="0" fontId="0" fillId="0" borderId="97" xfId="0" applyBorder="1" applyAlignment="1">
      <alignment horizontal="center"/>
    </xf>
    <xf numFmtId="0" fontId="0" fillId="0" borderId="57" xfId="0" applyBorder="1" applyAlignment="1">
      <alignment horizontal="center" vertical="center"/>
    </xf>
    <xf numFmtId="0" fontId="0" fillId="0" borderId="79" xfId="0" applyBorder="1" applyAlignment="1">
      <alignment horizontal="center" vertical="center"/>
    </xf>
    <xf numFmtId="0" fontId="0" fillId="0" borderId="88" xfId="0" applyBorder="1" applyAlignment="1">
      <alignment horizontal="center" vertical="center"/>
    </xf>
    <xf numFmtId="0" fontId="43" fillId="0" borderId="57" xfId="0" applyFont="1" applyBorder="1" applyAlignment="1">
      <alignment horizontal="center" vertical="center"/>
    </xf>
    <xf numFmtId="0" fontId="43" fillId="0" borderId="79" xfId="0" applyFont="1" applyBorder="1" applyAlignment="1">
      <alignment horizontal="center" vertical="center"/>
    </xf>
    <xf numFmtId="165" fontId="63" fillId="2" borderId="0" xfId="0" applyNumberFormat="1" applyFont="1" applyFill="1" applyAlignment="1">
      <alignment horizontal="center"/>
    </xf>
    <xf numFmtId="2" fontId="4" fillId="2" borderId="0" xfId="0" applyNumberFormat="1" applyFont="1" applyFill="1" applyAlignment="1">
      <alignment horizontal="center"/>
    </xf>
    <xf numFmtId="0" fontId="37" fillId="2" borderId="56" xfId="0" applyFont="1" applyFill="1" applyBorder="1" applyAlignment="1">
      <alignment horizontal="center"/>
    </xf>
    <xf numFmtId="165" fontId="37" fillId="2" borderId="56" xfId="0" applyNumberFormat="1" applyFont="1" applyFill="1" applyBorder="1" applyAlignment="1">
      <alignment horizontal="center"/>
    </xf>
    <xf numFmtId="165" fontId="4" fillId="2" borderId="38" xfId="0" quotePrefix="1" applyNumberFormat="1" applyFont="1" applyFill="1" applyBorder="1" applyAlignment="1">
      <alignment horizontal="center" wrapText="1"/>
    </xf>
    <xf numFmtId="165" fontId="4" fillId="2" borderId="0" xfId="0" quotePrefix="1" applyNumberFormat="1" applyFont="1" applyFill="1" applyAlignment="1">
      <alignment horizontal="center" wrapText="1"/>
    </xf>
    <xf numFmtId="1" fontId="61" fillId="2" borderId="0" xfId="0" applyNumberFormat="1" applyFont="1" applyFill="1" applyAlignment="1">
      <alignment horizontal="left"/>
    </xf>
    <xf numFmtId="0" fontId="39" fillId="2" borderId="0" xfId="0" applyFont="1" applyFill="1" applyAlignment="1">
      <alignment horizontal="center"/>
    </xf>
    <xf numFmtId="1" fontId="58" fillId="5" borderId="56" xfId="0" applyNumberFormat="1" applyFont="1" applyFill="1" applyBorder="1" applyAlignment="1" applyProtection="1">
      <alignment horizontal="center"/>
      <protection locked="0"/>
    </xf>
    <xf numFmtId="1" fontId="4" fillId="2" borderId="48" xfId="0" applyNumberFormat="1" applyFont="1" applyFill="1" applyBorder="1" applyAlignment="1">
      <alignment horizontal="left"/>
    </xf>
    <xf numFmtId="1" fontId="4" fillId="2" borderId="50" xfId="0" applyNumberFormat="1" applyFont="1" applyFill="1" applyBorder="1" applyAlignment="1">
      <alignment horizontal="left"/>
    </xf>
    <xf numFmtId="1" fontId="4" fillId="2" borderId="49" xfId="0" applyNumberFormat="1" applyFont="1" applyFill="1" applyBorder="1" applyAlignment="1">
      <alignment horizontal="left"/>
    </xf>
    <xf numFmtId="1" fontId="62" fillId="2" borderId="0" xfId="0" applyNumberFormat="1" applyFont="1" applyFill="1" applyAlignment="1" applyProtection="1">
      <alignment horizontal="center"/>
      <protection locked="0"/>
    </xf>
    <xf numFmtId="165" fontId="37" fillId="2" borderId="48" xfId="0" applyNumberFormat="1" applyFont="1" applyFill="1" applyBorder="1" applyAlignment="1">
      <alignment horizontal="center"/>
    </xf>
    <xf numFmtId="165" fontId="37" fillId="2" borderId="49" xfId="0" applyNumberFormat="1" applyFont="1" applyFill="1" applyBorder="1" applyAlignment="1">
      <alignment horizontal="center"/>
    </xf>
    <xf numFmtId="2" fontId="57" fillId="2" borderId="0" xfId="0" applyNumberFormat="1" applyFont="1" applyFill="1" applyAlignment="1">
      <alignment horizontal="center"/>
    </xf>
    <xf numFmtId="0" fontId="4" fillId="2" borderId="0" xfId="0" applyFont="1" applyFill="1" applyAlignment="1" applyProtection="1">
      <alignment horizontal="center"/>
      <protection hidden="1"/>
    </xf>
    <xf numFmtId="0" fontId="42" fillId="2" borderId="45" xfId="0" applyFont="1" applyFill="1" applyBorder="1" applyAlignment="1">
      <alignment horizontal="center" vertical="center" wrapText="1"/>
    </xf>
    <xf numFmtId="0" fontId="42" fillId="2" borderId="46" xfId="0" applyFont="1" applyFill="1" applyBorder="1" applyAlignment="1">
      <alignment horizontal="center" vertical="center" wrapText="1"/>
    </xf>
    <xf numFmtId="0" fontId="37" fillId="2" borderId="40" xfId="0" applyFont="1" applyFill="1" applyBorder="1" applyAlignment="1">
      <alignment horizontal="center" vertical="center"/>
    </xf>
    <xf numFmtId="0" fontId="37" fillId="2" borderId="0" xfId="0" applyFont="1" applyFill="1" applyAlignment="1">
      <alignment horizontal="center" vertical="center"/>
    </xf>
    <xf numFmtId="1" fontId="38" fillId="0" borderId="40" xfId="0" applyNumberFormat="1" applyFont="1" applyBorder="1" applyAlignment="1" applyProtection="1">
      <alignment horizontal="center" vertical="center"/>
      <protection locked="0"/>
    </xf>
    <xf numFmtId="1" fontId="38" fillId="0" borderId="0" xfId="0" applyNumberFormat="1" applyFont="1" applyAlignment="1" applyProtection="1">
      <alignment horizontal="center" vertical="center"/>
      <protection locked="0"/>
    </xf>
    <xf numFmtId="0" fontId="39" fillId="2" borderId="48" xfId="0" applyFont="1" applyFill="1" applyBorder="1" applyAlignment="1">
      <alignment horizontal="center"/>
    </xf>
    <xf numFmtId="0" fontId="39" fillId="2" borderId="49" xfId="0" applyFont="1" applyFill="1" applyBorder="1" applyAlignment="1">
      <alignment horizontal="center"/>
    </xf>
    <xf numFmtId="0" fontId="19" fillId="2" borderId="37" xfId="0" applyFont="1" applyFill="1" applyBorder="1" applyAlignment="1">
      <alignment horizontal="center"/>
    </xf>
    <xf numFmtId="0" fontId="19" fillId="2" borderId="39" xfId="0" applyFont="1" applyFill="1" applyBorder="1" applyAlignment="1">
      <alignment horizontal="center"/>
    </xf>
    <xf numFmtId="0" fontId="37" fillId="2" borderId="0" xfId="0" quotePrefix="1" applyFont="1" applyFill="1" applyAlignment="1">
      <alignment horizontal="center" vertical="center"/>
    </xf>
    <xf numFmtId="0" fontId="31" fillId="2" borderId="37" xfId="0" applyFont="1" applyFill="1" applyBorder="1" applyAlignment="1">
      <alignment horizontal="center" vertical="center"/>
    </xf>
    <xf numFmtId="0" fontId="31" fillId="2" borderId="39" xfId="0" applyFont="1" applyFill="1" applyBorder="1" applyAlignment="1">
      <alignment horizontal="center" vertical="center"/>
    </xf>
    <xf numFmtId="0" fontId="31" fillId="2" borderId="40" xfId="0" applyFont="1" applyFill="1" applyBorder="1" applyAlignment="1">
      <alignment horizontal="center" vertical="center"/>
    </xf>
    <xf numFmtId="0" fontId="31" fillId="2" borderId="41" xfId="0" applyFont="1" applyFill="1" applyBorder="1" applyAlignment="1">
      <alignment horizontal="center" vertical="center"/>
    </xf>
    <xf numFmtId="0" fontId="31" fillId="2" borderId="42" xfId="0" applyFont="1" applyFill="1" applyBorder="1" applyAlignment="1">
      <alignment horizontal="center" vertical="center"/>
    </xf>
    <xf numFmtId="0" fontId="31" fillId="2" borderId="44" xfId="0" applyFont="1" applyFill="1" applyBorder="1" applyAlignment="1">
      <alignment horizontal="center" vertical="center"/>
    </xf>
    <xf numFmtId="0" fontId="21" fillId="2" borderId="0" xfId="0" applyFont="1" applyFill="1" applyAlignment="1">
      <alignment horizontal="center" vertical="center"/>
    </xf>
    <xf numFmtId="0" fontId="39" fillId="2" borderId="0" xfId="0" applyFont="1" applyFill="1" applyAlignment="1">
      <alignment horizontal="center" vertical="center" wrapText="1"/>
    </xf>
    <xf numFmtId="0" fontId="39" fillId="2" borderId="48" xfId="0" applyFont="1" applyFill="1" applyBorder="1" applyAlignment="1">
      <alignment horizontal="left" vertical="center" wrapText="1"/>
    </xf>
    <xf numFmtId="0" fontId="39" fillId="2" borderId="50" xfId="0" applyFont="1" applyFill="1" applyBorder="1" applyAlignment="1">
      <alignment horizontal="left" vertical="center" wrapText="1"/>
    </xf>
    <xf numFmtId="2" fontId="24" fillId="2" borderId="48" xfId="0" applyNumberFormat="1" applyFont="1" applyFill="1" applyBorder="1" applyAlignment="1">
      <alignment horizontal="center" vertical="center"/>
    </xf>
    <xf numFmtId="2" fontId="24" fillId="2" borderId="50" xfId="0" applyNumberFormat="1" applyFont="1" applyFill="1" applyBorder="1" applyAlignment="1">
      <alignment horizontal="center" vertical="center"/>
    </xf>
    <xf numFmtId="2" fontId="24" fillId="2" borderId="49" xfId="0" applyNumberFormat="1" applyFont="1" applyFill="1" applyBorder="1" applyAlignment="1">
      <alignment horizontal="center" vertical="center"/>
    </xf>
    <xf numFmtId="0" fontId="22" fillId="2" borderId="37" xfId="0" applyFont="1" applyFill="1" applyBorder="1" applyAlignment="1">
      <alignment horizontal="center" vertical="center"/>
    </xf>
    <xf numFmtId="0" fontId="22" fillId="2" borderId="38" xfId="0" applyFont="1" applyFill="1" applyBorder="1" applyAlignment="1">
      <alignment horizontal="center" vertical="center"/>
    </xf>
    <xf numFmtId="0" fontId="22" fillId="2" borderId="39" xfId="0" applyFont="1" applyFill="1" applyBorder="1" applyAlignment="1">
      <alignment horizontal="center" vertical="center"/>
    </xf>
    <xf numFmtId="0" fontId="22" fillId="2" borderId="40" xfId="0" applyFont="1" applyFill="1" applyBorder="1" applyAlignment="1">
      <alignment horizontal="center" vertical="center"/>
    </xf>
    <xf numFmtId="0" fontId="22" fillId="2" borderId="0" xfId="0" applyFont="1" applyFill="1" applyAlignment="1">
      <alignment horizontal="center" vertical="center"/>
    </xf>
    <xf numFmtId="0" fontId="22" fillId="2" borderId="41" xfId="0" applyFont="1" applyFill="1" applyBorder="1" applyAlignment="1">
      <alignment horizontal="center" vertical="center"/>
    </xf>
    <xf numFmtId="173" fontId="37" fillId="2" borderId="0" xfId="0" applyNumberFormat="1" applyFont="1" applyFill="1" applyAlignment="1">
      <alignment horizontal="left" vertical="center"/>
    </xf>
    <xf numFmtId="0" fontId="17" fillId="2" borderId="0" xfId="0" applyFont="1" applyFill="1" applyAlignment="1">
      <alignment horizontal="center"/>
    </xf>
    <xf numFmtId="1" fontId="19" fillId="2" borderId="48" xfId="0" applyNumberFormat="1" applyFont="1" applyFill="1" applyBorder="1" applyAlignment="1">
      <alignment horizontal="center"/>
    </xf>
    <xf numFmtId="1" fontId="19" fillId="2" borderId="50" xfId="0" applyNumberFormat="1" applyFont="1" applyFill="1" applyBorder="1" applyAlignment="1">
      <alignment horizontal="center"/>
    </xf>
    <xf numFmtId="0" fontId="19" fillId="2" borderId="40" xfId="0" applyFont="1" applyFill="1" applyBorder="1" applyAlignment="1">
      <alignment horizontal="center"/>
    </xf>
    <xf numFmtId="0" fontId="19" fillId="2" borderId="0" xfId="0" applyFont="1" applyFill="1" applyAlignment="1">
      <alignment horizontal="center"/>
    </xf>
    <xf numFmtId="0" fontId="19" fillId="2" borderId="41" xfId="0" applyFont="1" applyFill="1" applyBorder="1" applyAlignment="1">
      <alignment horizontal="center"/>
    </xf>
    <xf numFmtId="165" fontId="19" fillId="2" borderId="40" xfId="0" applyNumberFormat="1" applyFont="1" applyFill="1" applyBorder="1" applyAlignment="1">
      <alignment horizontal="center"/>
    </xf>
    <xf numFmtId="165" fontId="19" fillId="2" borderId="0" xfId="0" applyNumberFormat="1" applyFont="1" applyFill="1" applyAlignment="1">
      <alignment horizontal="center"/>
    </xf>
    <xf numFmtId="0" fontId="20" fillId="2" borderId="46" xfId="0" applyFont="1" applyFill="1" applyBorder="1" applyAlignment="1">
      <alignment horizontal="center" vertical="center" textRotation="90"/>
    </xf>
    <xf numFmtId="165" fontId="19" fillId="2" borderId="42" xfId="0" applyNumberFormat="1" applyFont="1" applyFill="1" applyBorder="1" applyAlignment="1">
      <alignment horizontal="center"/>
    </xf>
    <xf numFmtId="165" fontId="19" fillId="2" borderId="43" xfId="0" applyNumberFormat="1" applyFont="1" applyFill="1" applyBorder="1" applyAlignment="1">
      <alignment horizontal="center"/>
    </xf>
    <xf numFmtId="164" fontId="41" fillId="5" borderId="37" xfId="0" applyNumberFormat="1" applyFont="1" applyFill="1" applyBorder="1" applyAlignment="1" applyProtection="1">
      <alignment horizontal="center" vertical="center"/>
      <protection locked="0"/>
    </xf>
    <xf numFmtId="164" fontId="41" fillId="5" borderId="39" xfId="0" applyNumberFormat="1" applyFont="1" applyFill="1" applyBorder="1" applyAlignment="1" applyProtection="1">
      <alignment horizontal="center" vertical="center"/>
      <protection locked="0"/>
    </xf>
    <xf numFmtId="164" fontId="41" fillId="5" borderId="40" xfId="0" applyNumberFormat="1" applyFont="1" applyFill="1" applyBorder="1" applyAlignment="1" applyProtection="1">
      <alignment horizontal="center" vertical="center"/>
      <protection locked="0"/>
    </xf>
    <xf numFmtId="164" fontId="41" fillId="5" borderId="41" xfId="0" applyNumberFormat="1" applyFont="1" applyFill="1" applyBorder="1" applyAlignment="1" applyProtection="1">
      <alignment horizontal="center" vertical="center"/>
      <protection locked="0"/>
    </xf>
    <xf numFmtId="164" fontId="41" fillId="5" borderId="42" xfId="0" applyNumberFormat="1" applyFont="1" applyFill="1" applyBorder="1" applyAlignment="1" applyProtection="1">
      <alignment horizontal="center" vertical="center"/>
      <protection locked="0"/>
    </xf>
    <xf numFmtId="164" fontId="41" fillId="5" borderId="44" xfId="0" applyNumberFormat="1" applyFont="1" applyFill="1" applyBorder="1" applyAlignment="1" applyProtection="1">
      <alignment horizontal="center" vertical="center"/>
      <protection locked="0"/>
    </xf>
    <xf numFmtId="2" fontId="57" fillId="2" borderId="0" xfId="0" applyNumberFormat="1" applyFont="1" applyFill="1" applyAlignment="1">
      <alignment horizontal="left" wrapText="1"/>
    </xf>
    <xf numFmtId="2" fontId="57" fillId="2" borderId="0" xfId="0" applyNumberFormat="1" applyFont="1" applyFill="1" applyAlignment="1">
      <alignment horizontal="left"/>
    </xf>
    <xf numFmtId="2" fontId="57" fillId="2" borderId="4" xfId="0" applyNumberFormat="1" applyFont="1" applyFill="1" applyBorder="1" applyAlignment="1">
      <alignment horizontal="left"/>
    </xf>
    <xf numFmtId="0" fontId="11" fillId="3" borderId="17" xfId="0" applyFont="1" applyFill="1" applyBorder="1" applyAlignment="1">
      <alignment horizontal="center"/>
    </xf>
    <xf numFmtId="0" fontId="11" fillId="3" borderId="18" xfId="0" applyFont="1" applyFill="1" applyBorder="1" applyAlignment="1">
      <alignment horizontal="center"/>
    </xf>
    <xf numFmtId="0" fontId="9" fillId="4" borderId="19" xfId="0" applyFont="1" applyFill="1" applyBorder="1" applyAlignment="1">
      <alignment horizontal="center"/>
    </xf>
    <xf numFmtId="0" fontId="9" fillId="4" borderId="0" xfId="0" applyFont="1" applyFill="1" applyAlignment="1">
      <alignment horizontal="center"/>
    </xf>
    <xf numFmtId="0" fontId="9" fillId="4" borderId="3" xfId="0" applyFont="1" applyFill="1" applyBorder="1" applyAlignment="1">
      <alignment horizontal="center"/>
    </xf>
    <xf numFmtId="0" fontId="9" fillId="4" borderId="20" xfId="0" applyFont="1" applyFill="1" applyBorder="1" applyAlignment="1">
      <alignment horizontal="center"/>
    </xf>
    <xf numFmtId="49" fontId="30" fillId="0" borderId="0" xfId="0" applyNumberFormat="1" applyFont="1" applyAlignment="1">
      <alignment horizontal="center" vertical="center" textRotation="90"/>
    </xf>
    <xf numFmtId="0" fontId="11" fillId="3" borderId="15" xfId="0" applyFont="1" applyFill="1" applyBorder="1" applyAlignment="1">
      <alignment horizontal="center"/>
    </xf>
    <xf numFmtId="0" fontId="11" fillId="3" borderId="16" xfId="0" applyFont="1" applyFill="1" applyBorder="1" applyAlignment="1">
      <alignment horizont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24" fillId="2" borderId="3" xfId="0" applyFont="1" applyFill="1" applyBorder="1" applyAlignment="1">
      <alignment horizontal="center" vertical="center"/>
    </xf>
    <xf numFmtId="0" fontId="24" fillId="2" borderId="0" xfId="0" applyFont="1" applyFill="1" applyAlignment="1">
      <alignment horizontal="center" vertical="center"/>
    </xf>
    <xf numFmtId="0" fontId="70" fillId="2" borderId="0" xfId="0" applyFont="1" applyFill="1" applyAlignment="1">
      <alignment horizontal="center"/>
    </xf>
    <xf numFmtId="49" fontId="25" fillId="0" borderId="0" xfId="0" applyNumberFormat="1" applyFont="1" applyAlignment="1">
      <alignment horizontal="center" vertical="center" textRotation="90"/>
    </xf>
    <xf numFmtId="0" fontId="4" fillId="3" borderId="26" xfId="0" applyFont="1" applyFill="1" applyBorder="1" applyAlignment="1">
      <alignment horizontal="center"/>
    </xf>
    <xf numFmtId="0" fontId="4" fillId="3" borderId="27" xfId="0" applyFont="1" applyFill="1" applyBorder="1" applyAlignment="1">
      <alignment horizontal="center"/>
    </xf>
    <xf numFmtId="0" fontId="12" fillId="4" borderId="63" xfId="0" applyFont="1" applyFill="1" applyBorder="1" applyAlignment="1">
      <alignment horizontal="center"/>
    </xf>
    <xf numFmtId="0" fontId="12" fillId="4" borderId="7" xfId="0" applyFont="1" applyFill="1" applyBorder="1" applyAlignment="1">
      <alignment horizontal="center"/>
    </xf>
    <xf numFmtId="0" fontId="12" fillId="4" borderId="64" xfId="0" applyFont="1" applyFill="1" applyBorder="1" applyAlignment="1">
      <alignment horizontal="center"/>
    </xf>
    <xf numFmtId="0" fontId="12" fillId="4" borderId="32" xfId="0" applyFont="1" applyFill="1" applyBorder="1" applyAlignment="1">
      <alignment horizontal="center"/>
    </xf>
    <xf numFmtId="0" fontId="12" fillId="4" borderId="13" xfId="0" applyFont="1" applyFill="1" applyBorder="1" applyAlignment="1">
      <alignment horizontal="center"/>
    </xf>
    <xf numFmtId="0" fontId="12" fillId="4" borderId="65" xfId="0" applyFont="1" applyFill="1" applyBorder="1" applyAlignment="1">
      <alignment horizontal="center"/>
    </xf>
    <xf numFmtId="165" fontId="57" fillId="2" borderId="3" xfId="0" applyNumberFormat="1" applyFont="1" applyFill="1" applyBorder="1" applyAlignment="1">
      <alignment horizontal="left" wrapText="1"/>
    </xf>
    <xf numFmtId="165" fontId="57" fillId="2" borderId="20" xfId="0" applyNumberFormat="1" applyFont="1" applyFill="1" applyBorder="1" applyAlignment="1">
      <alignment horizontal="left" wrapText="1"/>
    </xf>
    <xf numFmtId="166" fontId="19" fillId="2" borderId="40" xfId="0" applyNumberFormat="1" applyFont="1" applyFill="1" applyBorder="1" applyAlignment="1">
      <alignment horizontal="center"/>
    </xf>
    <xf numFmtId="166" fontId="19" fillId="2" borderId="0" xfId="0" applyNumberFormat="1" applyFont="1" applyFill="1" applyAlignment="1">
      <alignment horizontal="center"/>
    </xf>
    <xf numFmtId="0" fontId="16" fillId="2" borderId="0" xfId="0" applyFont="1" applyFill="1" applyAlignment="1" applyProtection="1">
      <alignment horizontal="center"/>
      <protection hidden="1"/>
    </xf>
    <xf numFmtId="0" fontId="16" fillId="5" borderId="67" xfId="0" applyFont="1" applyFill="1" applyBorder="1" applyAlignment="1" applyProtection="1">
      <alignment horizontal="center"/>
      <protection hidden="1"/>
    </xf>
    <xf numFmtId="0" fontId="16" fillId="5" borderId="68" xfId="0" applyFont="1" applyFill="1" applyBorder="1" applyAlignment="1" applyProtection="1">
      <alignment horizontal="center"/>
      <protection hidden="1"/>
    </xf>
    <xf numFmtId="0" fontId="16" fillId="5" borderId="69" xfId="0" applyFont="1" applyFill="1" applyBorder="1" applyAlignment="1" applyProtection="1">
      <alignment horizontal="center"/>
      <protection hidden="1"/>
    </xf>
    <xf numFmtId="0" fontId="16" fillId="5" borderId="71" xfId="0" applyFont="1" applyFill="1" applyBorder="1" applyAlignment="1" applyProtection="1">
      <alignment horizontal="center"/>
      <protection hidden="1"/>
    </xf>
    <xf numFmtId="0" fontId="16" fillId="5" borderId="72" xfId="0" applyFont="1" applyFill="1" applyBorder="1" applyAlignment="1" applyProtection="1">
      <alignment horizontal="center"/>
      <protection hidden="1"/>
    </xf>
    <xf numFmtId="0" fontId="19" fillId="2" borderId="0" xfId="0" applyFont="1" applyFill="1" applyAlignment="1" applyProtection="1">
      <alignment horizontal="center"/>
      <protection hidden="1"/>
    </xf>
    <xf numFmtId="164" fontId="41" fillId="5" borderId="38" xfId="0" applyNumberFormat="1" applyFont="1" applyFill="1" applyBorder="1" applyAlignment="1" applyProtection="1">
      <alignment horizontal="center" vertical="center"/>
      <protection locked="0"/>
    </xf>
    <xf numFmtId="164" fontId="41" fillId="5" borderId="0" xfId="0" applyNumberFormat="1" applyFont="1" applyFill="1" applyAlignment="1" applyProtection="1">
      <alignment horizontal="center" vertical="center"/>
      <protection locked="0"/>
    </xf>
    <xf numFmtId="0" fontId="21" fillId="2" borderId="46" xfId="0" applyFont="1" applyFill="1" applyBorder="1" applyAlignment="1">
      <alignment horizontal="center" vertical="center"/>
    </xf>
    <xf numFmtId="0" fontId="82" fillId="2" borderId="0" xfId="0" applyFont="1" applyFill="1" applyAlignment="1">
      <alignment horizontal="center" vertical="center" wrapText="1"/>
    </xf>
    <xf numFmtId="0" fontId="81" fillId="8" borderId="107" xfId="0" applyFont="1" applyFill="1" applyBorder="1" applyAlignment="1">
      <alignment horizontal="left" vertical="center" wrapText="1"/>
    </xf>
    <xf numFmtId="0" fontId="81" fillId="8" borderId="108" xfId="0" applyFont="1" applyFill="1" applyBorder="1" applyAlignment="1">
      <alignment horizontal="left" vertical="center" wrapText="1"/>
    </xf>
    <xf numFmtId="0" fontId="23" fillId="2" borderId="37" xfId="0" applyFont="1" applyFill="1" applyBorder="1" applyAlignment="1">
      <alignment horizontal="center"/>
    </xf>
    <xf numFmtId="0" fontId="23" fillId="2" borderId="38" xfId="0" applyFont="1" applyFill="1" applyBorder="1" applyAlignment="1">
      <alignment horizontal="center"/>
    </xf>
    <xf numFmtId="0" fontId="23" fillId="2" borderId="39" xfId="0" applyFont="1" applyFill="1" applyBorder="1" applyAlignment="1">
      <alignment horizontal="center"/>
    </xf>
    <xf numFmtId="0" fontId="23" fillId="2" borderId="40" xfId="0" applyFont="1" applyFill="1" applyBorder="1" applyAlignment="1">
      <alignment horizontal="center"/>
    </xf>
    <xf numFmtId="0" fontId="23" fillId="2" borderId="0" xfId="0" applyFont="1" applyFill="1" applyAlignment="1">
      <alignment horizontal="center"/>
    </xf>
    <xf numFmtId="0" fontId="23" fillId="2" borderId="41" xfId="0" applyFont="1" applyFill="1" applyBorder="1" applyAlignment="1">
      <alignment horizontal="center"/>
    </xf>
    <xf numFmtId="2" fontId="23" fillId="2" borderId="37" xfId="0" applyNumberFormat="1" applyFont="1" applyFill="1" applyBorder="1" applyAlignment="1">
      <alignment horizontal="center"/>
    </xf>
    <xf numFmtId="2" fontId="23" fillId="2" borderId="38" xfId="0" applyNumberFormat="1" applyFont="1" applyFill="1" applyBorder="1" applyAlignment="1">
      <alignment horizontal="center"/>
    </xf>
    <xf numFmtId="2" fontId="23" fillId="2" borderId="39" xfId="0" applyNumberFormat="1" applyFont="1" applyFill="1" applyBorder="1" applyAlignment="1">
      <alignment horizontal="center"/>
    </xf>
    <xf numFmtId="2" fontId="23" fillId="2" borderId="40" xfId="0" applyNumberFormat="1" applyFont="1" applyFill="1" applyBorder="1" applyAlignment="1">
      <alignment horizontal="center"/>
    </xf>
    <xf numFmtId="2" fontId="23" fillId="2" borderId="0" xfId="0" applyNumberFormat="1" applyFont="1" applyFill="1" applyAlignment="1">
      <alignment horizontal="center"/>
    </xf>
    <xf numFmtId="2" fontId="23" fillId="2" borderId="41" xfId="0" applyNumberFormat="1" applyFont="1" applyFill="1" applyBorder="1" applyAlignment="1">
      <alignment horizontal="center"/>
    </xf>
    <xf numFmtId="0" fontId="20" fillId="2" borderId="0" xfId="0" applyFont="1" applyFill="1" applyAlignment="1">
      <alignment horizontal="center" vertical="center" textRotation="90"/>
    </xf>
    <xf numFmtId="3" fontId="19" fillId="2" borderId="42" xfId="0" applyNumberFormat="1" applyFont="1" applyFill="1" applyBorder="1" applyAlignment="1">
      <alignment horizontal="center"/>
    </xf>
    <xf numFmtId="3" fontId="19" fillId="2" borderId="43" xfId="0" applyNumberFormat="1" applyFont="1" applyFill="1" applyBorder="1" applyAlignment="1">
      <alignment horizontal="center"/>
    </xf>
    <xf numFmtId="3" fontId="19" fillId="2" borderId="40" xfId="0" applyNumberFormat="1" applyFont="1" applyFill="1" applyBorder="1" applyAlignment="1">
      <alignment horizontal="center"/>
    </xf>
    <xf numFmtId="3" fontId="19" fillId="2" borderId="0" xfId="0" applyNumberFormat="1" applyFont="1" applyFill="1" applyAlignment="1">
      <alignment horizontal="center"/>
    </xf>
    <xf numFmtId="2" fontId="24" fillId="6" borderId="48" xfId="0" applyNumberFormat="1" applyFont="1" applyFill="1" applyBorder="1" applyAlignment="1">
      <alignment horizontal="center" vertical="center"/>
    </xf>
    <xf numFmtId="2" fontId="24" fillId="6" borderId="50" xfId="0" applyNumberFormat="1" applyFont="1" applyFill="1" applyBorder="1" applyAlignment="1">
      <alignment horizontal="center" vertical="center"/>
    </xf>
    <xf numFmtId="2" fontId="24" fillId="6" borderId="49" xfId="0" applyNumberFormat="1" applyFont="1" applyFill="1" applyBorder="1" applyAlignment="1">
      <alignment horizontal="center" vertical="center"/>
    </xf>
    <xf numFmtId="173" fontId="83" fillId="2" borderId="0" xfId="0" applyNumberFormat="1" applyFont="1" applyFill="1" applyAlignment="1">
      <alignment horizontal="left" vertical="center"/>
    </xf>
    <xf numFmtId="173" fontId="83" fillId="2" borderId="41" xfId="0" applyNumberFormat="1" applyFont="1" applyFill="1" applyBorder="1" applyAlignment="1">
      <alignment horizontal="left" vertical="center"/>
    </xf>
    <xf numFmtId="0" fontId="21" fillId="2" borderId="40" xfId="0" applyFont="1" applyFill="1" applyBorder="1" applyAlignment="1">
      <alignment horizontal="center" vertical="center"/>
    </xf>
    <xf numFmtId="0" fontId="19" fillId="2" borderId="48" xfId="0" applyFont="1" applyFill="1" applyBorder="1" applyAlignment="1">
      <alignment horizontal="center"/>
    </xf>
    <xf numFmtId="0" fontId="19" fillId="2" borderId="49" xfId="0" applyFont="1" applyFill="1" applyBorder="1" applyAlignment="1">
      <alignment horizontal="center"/>
    </xf>
    <xf numFmtId="0" fontId="19" fillId="2" borderId="50" xfId="0" applyFont="1" applyFill="1" applyBorder="1" applyAlignment="1">
      <alignment horizontal="center"/>
    </xf>
    <xf numFmtId="0" fontId="0" fillId="0" borderId="0" xfId="0" applyAlignment="1">
      <alignment horizontal="center" vertical="center"/>
    </xf>
    <xf numFmtId="0" fontId="27" fillId="5" borderId="11" xfId="0" applyFont="1" applyFill="1" applyBorder="1" applyAlignment="1" applyProtection="1">
      <alignment horizontal="center"/>
      <protection locked="0"/>
    </xf>
    <xf numFmtId="0" fontId="0" fillId="0" borderId="0" xfId="0" applyAlignment="1">
      <alignment horizontal="center"/>
    </xf>
    <xf numFmtId="0" fontId="27" fillId="5" borderId="51" xfId="0" applyFont="1" applyFill="1" applyBorder="1" applyAlignment="1" applyProtection="1">
      <alignment horizontal="center"/>
      <protection locked="0"/>
    </xf>
    <xf numFmtId="0" fontId="11" fillId="3" borderId="52" xfId="0" applyFont="1" applyFill="1" applyBorder="1" applyAlignment="1">
      <alignment horizontal="center"/>
    </xf>
    <xf numFmtId="0" fontId="11" fillId="3" borderId="53" xfId="0" applyFont="1" applyFill="1" applyBorder="1" applyAlignment="1">
      <alignment horizontal="center"/>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18" fillId="0" borderId="4" xfId="0" applyFont="1" applyBorder="1" applyAlignment="1">
      <alignment horizontal="center" vertical="center"/>
    </xf>
    <xf numFmtId="0" fontId="18" fillId="0" borderId="5" xfId="0" applyFont="1" applyBorder="1" applyAlignment="1">
      <alignment horizontal="center" vertical="center"/>
    </xf>
    <xf numFmtId="0" fontId="18" fillId="0" borderId="6" xfId="0" applyFont="1" applyBorder="1" applyAlignment="1">
      <alignment horizontal="center" vertical="center"/>
    </xf>
    <xf numFmtId="0" fontId="17" fillId="2" borderId="3" xfId="0" applyFont="1" applyFill="1" applyBorder="1" applyAlignment="1">
      <alignment horizontal="center" vertical="center"/>
    </xf>
    <xf numFmtId="0" fontId="12" fillId="4" borderId="6" xfId="0" applyFont="1" applyFill="1" applyBorder="1" applyAlignment="1">
      <alignment horizontal="center"/>
    </xf>
    <xf numFmtId="0" fontId="12" fillId="4" borderId="11" xfId="0" applyFont="1" applyFill="1" applyBorder="1" applyAlignment="1">
      <alignment horizontal="center"/>
    </xf>
    <xf numFmtId="0" fontId="12" fillId="4" borderId="5" xfId="0" applyFont="1" applyFill="1" applyBorder="1" applyAlignment="1">
      <alignment horizontal="center"/>
    </xf>
    <xf numFmtId="0" fontId="12" fillId="4" borderId="14" xfId="0" applyFont="1" applyFill="1" applyBorder="1" applyAlignment="1">
      <alignment horizontal="center"/>
    </xf>
    <xf numFmtId="0" fontId="12" fillId="4" borderId="25" xfId="0" applyFont="1" applyFill="1" applyBorder="1" applyAlignment="1">
      <alignment horizontal="center"/>
    </xf>
    <xf numFmtId="0" fontId="12" fillId="4" borderId="12" xfId="0" applyFont="1" applyFill="1" applyBorder="1" applyAlignment="1">
      <alignment horizontal="center"/>
    </xf>
    <xf numFmtId="0" fontId="1" fillId="0" borderId="1" xfId="0" applyFont="1" applyBorder="1" applyAlignment="1">
      <alignment horizontal="center"/>
    </xf>
    <xf numFmtId="0" fontId="1" fillId="0" borderId="8" xfId="0" applyFont="1" applyBorder="1" applyAlignment="1">
      <alignment horizontal="center"/>
    </xf>
    <xf numFmtId="0" fontId="1" fillId="0" borderId="2" xfId="0" applyFont="1" applyBorder="1" applyAlignment="1">
      <alignment horizontal="center"/>
    </xf>
  </cellXfs>
  <cellStyles count="241">
    <cellStyle name="Followed Hyperlink" xfId="68" builtinId="9" hidden="1"/>
    <cellStyle name="Followed Hyperlink" xfId="72" builtinId="9" hidden="1"/>
    <cellStyle name="Followed Hyperlink" xfId="76" builtinId="9" hidden="1"/>
    <cellStyle name="Followed Hyperlink" xfId="80" builtinId="9" hidden="1"/>
    <cellStyle name="Followed Hyperlink" xfId="84" builtinId="9" hidden="1"/>
    <cellStyle name="Followed Hyperlink" xfId="88" builtinId="9" hidden="1"/>
    <cellStyle name="Followed Hyperlink" xfId="92" builtinId="9" hidden="1"/>
    <cellStyle name="Followed Hyperlink" xfId="96" builtinId="9" hidden="1"/>
    <cellStyle name="Followed Hyperlink" xfId="100" builtinId="9" hidden="1"/>
    <cellStyle name="Followed Hyperlink" xfId="104" builtinId="9" hidden="1"/>
    <cellStyle name="Followed Hyperlink" xfId="108" builtinId="9" hidden="1"/>
    <cellStyle name="Followed Hyperlink" xfId="112" builtinId="9" hidden="1"/>
    <cellStyle name="Followed Hyperlink" xfId="116" builtinId="9" hidden="1"/>
    <cellStyle name="Followed Hyperlink" xfId="120" builtinId="9" hidden="1"/>
    <cellStyle name="Followed Hyperlink" xfId="124" builtinId="9" hidden="1"/>
    <cellStyle name="Followed Hyperlink" xfId="128" builtinId="9" hidden="1"/>
    <cellStyle name="Followed Hyperlink" xfId="132" builtinId="9" hidden="1"/>
    <cellStyle name="Followed Hyperlink" xfId="136" builtinId="9" hidden="1"/>
    <cellStyle name="Followed Hyperlink" xfId="140" builtinId="9" hidden="1"/>
    <cellStyle name="Followed Hyperlink" xfId="144" builtinId="9" hidden="1"/>
    <cellStyle name="Followed Hyperlink" xfId="148" builtinId="9" hidden="1"/>
    <cellStyle name="Followed Hyperlink" xfId="152" builtinId="9" hidden="1"/>
    <cellStyle name="Followed Hyperlink" xfId="156" builtinId="9" hidden="1"/>
    <cellStyle name="Followed Hyperlink" xfId="160" builtinId="9" hidden="1"/>
    <cellStyle name="Followed Hyperlink" xfId="164" builtinId="9" hidden="1"/>
    <cellStyle name="Followed Hyperlink" xfId="168" builtinId="9" hidden="1"/>
    <cellStyle name="Followed Hyperlink" xfId="172" builtinId="9" hidden="1"/>
    <cellStyle name="Followed Hyperlink" xfId="176" builtinId="9" hidden="1"/>
    <cellStyle name="Followed Hyperlink" xfId="180" builtinId="9" hidden="1"/>
    <cellStyle name="Followed Hyperlink" xfId="184" builtinId="9" hidden="1"/>
    <cellStyle name="Followed Hyperlink" xfId="188" builtinId="9" hidden="1"/>
    <cellStyle name="Followed Hyperlink" xfId="192" builtinId="9" hidden="1"/>
    <cellStyle name="Followed Hyperlink" xfId="196" builtinId="9" hidden="1"/>
    <cellStyle name="Followed Hyperlink" xfId="200" builtinId="9" hidden="1"/>
    <cellStyle name="Followed Hyperlink" xfId="204" builtinId="9" hidden="1"/>
    <cellStyle name="Followed Hyperlink" xfId="208" builtinId="9" hidden="1"/>
    <cellStyle name="Followed Hyperlink" xfId="212" builtinId="9" hidden="1"/>
    <cellStyle name="Followed Hyperlink" xfId="216" builtinId="9" hidden="1"/>
    <cellStyle name="Followed Hyperlink" xfId="220"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39" builtinId="9" hidden="1"/>
    <cellStyle name="Followed Hyperlink" xfId="237" builtinId="9" hidden="1"/>
    <cellStyle name="Followed Hyperlink" xfId="235" builtinId="9" hidden="1"/>
    <cellStyle name="Followed Hyperlink" xfId="233" builtinId="9" hidden="1"/>
    <cellStyle name="Followed Hyperlink" xfId="231" builtinId="9" hidden="1"/>
    <cellStyle name="Followed Hyperlink" xfId="229" builtinId="9" hidden="1"/>
    <cellStyle name="Followed Hyperlink" xfId="227" builtinId="9" hidden="1"/>
    <cellStyle name="Followed Hyperlink" xfId="225" builtinId="9" hidden="1"/>
    <cellStyle name="Followed Hyperlink" xfId="222" builtinId="9" hidden="1"/>
    <cellStyle name="Followed Hyperlink" xfId="218" builtinId="9" hidden="1"/>
    <cellStyle name="Followed Hyperlink" xfId="214" builtinId="9" hidden="1"/>
    <cellStyle name="Followed Hyperlink" xfId="210" builtinId="9" hidden="1"/>
    <cellStyle name="Followed Hyperlink" xfId="206" builtinId="9" hidden="1"/>
    <cellStyle name="Followed Hyperlink" xfId="202" builtinId="9" hidden="1"/>
    <cellStyle name="Followed Hyperlink" xfId="198" builtinId="9" hidden="1"/>
    <cellStyle name="Followed Hyperlink" xfId="194" builtinId="9" hidden="1"/>
    <cellStyle name="Followed Hyperlink" xfId="190" builtinId="9" hidden="1"/>
    <cellStyle name="Followed Hyperlink" xfId="186" builtinId="9" hidden="1"/>
    <cellStyle name="Followed Hyperlink" xfId="182" builtinId="9" hidden="1"/>
    <cellStyle name="Followed Hyperlink" xfId="178" builtinId="9" hidden="1"/>
    <cellStyle name="Followed Hyperlink" xfId="174" builtinId="9" hidden="1"/>
    <cellStyle name="Followed Hyperlink" xfId="170" builtinId="9" hidden="1"/>
    <cellStyle name="Followed Hyperlink" xfId="166" builtinId="9" hidden="1"/>
    <cellStyle name="Followed Hyperlink" xfId="162" builtinId="9" hidden="1"/>
    <cellStyle name="Followed Hyperlink" xfId="158" builtinId="9" hidden="1"/>
    <cellStyle name="Followed Hyperlink" xfId="154" builtinId="9" hidden="1"/>
    <cellStyle name="Followed Hyperlink" xfId="150" builtinId="9" hidden="1"/>
    <cellStyle name="Followed Hyperlink" xfId="146" builtinId="9" hidden="1"/>
    <cellStyle name="Followed Hyperlink" xfId="142" builtinId="9" hidden="1"/>
    <cellStyle name="Followed Hyperlink" xfId="138" builtinId="9" hidden="1"/>
    <cellStyle name="Followed Hyperlink" xfId="134" builtinId="9" hidden="1"/>
    <cellStyle name="Followed Hyperlink" xfId="130" builtinId="9" hidden="1"/>
    <cellStyle name="Followed Hyperlink" xfId="126" builtinId="9" hidden="1"/>
    <cellStyle name="Followed Hyperlink" xfId="122" builtinId="9" hidden="1"/>
    <cellStyle name="Followed Hyperlink" xfId="118" builtinId="9" hidden="1"/>
    <cellStyle name="Followed Hyperlink" xfId="114" builtinId="9" hidden="1"/>
    <cellStyle name="Followed Hyperlink" xfId="110" builtinId="9" hidden="1"/>
    <cellStyle name="Followed Hyperlink" xfId="106" builtinId="9" hidden="1"/>
    <cellStyle name="Followed Hyperlink" xfId="102" builtinId="9" hidden="1"/>
    <cellStyle name="Followed Hyperlink" xfId="98" builtinId="9" hidden="1"/>
    <cellStyle name="Followed Hyperlink" xfId="94" builtinId="9" hidden="1"/>
    <cellStyle name="Followed Hyperlink" xfId="90" builtinId="9" hidden="1"/>
    <cellStyle name="Followed Hyperlink" xfId="86" builtinId="9" hidden="1"/>
    <cellStyle name="Followed Hyperlink" xfId="82" builtinId="9" hidden="1"/>
    <cellStyle name="Followed Hyperlink" xfId="78" builtinId="9" hidden="1"/>
    <cellStyle name="Followed Hyperlink" xfId="74" builtinId="9" hidden="1"/>
    <cellStyle name="Followed Hyperlink" xfId="70" builtinId="9" hidden="1"/>
    <cellStyle name="Followed Hyperlink" xfId="66" builtinId="9" hidden="1"/>
    <cellStyle name="Followed Hyperlink" xfId="24" builtinId="9" hidden="1"/>
    <cellStyle name="Followed Hyperlink" xfId="26" builtinId="9" hidden="1"/>
    <cellStyle name="Followed Hyperlink" xfId="28" builtinId="9" hidden="1"/>
    <cellStyle name="Followed Hyperlink" xfId="32" builtinId="9" hidden="1"/>
    <cellStyle name="Followed Hyperlink" xfId="34" builtinId="9" hidden="1"/>
    <cellStyle name="Followed Hyperlink" xfId="36" builtinId="9" hidden="1"/>
    <cellStyle name="Followed Hyperlink" xfId="40" builtinId="9" hidden="1"/>
    <cellStyle name="Followed Hyperlink" xfId="42" builtinId="9" hidden="1"/>
    <cellStyle name="Followed Hyperlink" xfId="44" builtinId="9" hidden="1"/>
    <cellStyle name="Followed Hyperlink" xfId="48" builtinId="9" hidden="1"/>
    <cellStyle name="Followed Hyperlink" xfId="50" builtinId="9" hidden="1"/>
    <cellStyle name="Followed Hyperlink" xfId="52" builtinId="9" hidden="1"/>
    <cellStyle name="Followed Hyperlink" xfId="56" builtinId="9" hidden="1"/>
    <cellStyle name="Followed Hyperlink" xfId="58" builtinId="9" hidden="1"/>
    <cellStyle name="Followed Hyperlink" xfId="60" builtinId="9" hidden="1"/>
    <cellStyle name="Followed Hyperlink" xfId="64" builtinId="9" hidden="1"/>
    <cellStyle name="Followed Hyperlink" xfId="62" builtinId="9" hidden="1"/>
    <cellStyle name="Followed Hyperlink" xfId="54" builtinId="9" hidden="1"/>
    <cellStyle name="Followed Hyperlink" xfId="46" builtinId="9" hidden="1"/>
    <cellStyle name="Followed Hyperlink" xfId="38" builtinId="9" hidden="1"/>
    <cellStyle name="Followed Hyperlink" xfId="30" builtinId="9" hidden="1"/>
    <cellStyle name="Followed Hyperlink" xfId="22" builtinId="9" hidden="1"/>
    <cellStyle name="Followed Hyperlink" xfId="10" builtinId="9" hidden="1"/>
    <cellStyle name="Followed Hyperlink" xfId="12" builtinId="9" hidden="1"/>
    <cellStyle name="Followed Hyperlink" xfId="16" builtinId="9" hidden="1"/>
    <cellStyle name="Followed Hyperlink" xfId="18" builtinId="9" hidden="1"/>
    <cellStyle name="Followed Hyperlink" xfId="20" builtinId="9" hidden="1"/>
    <cellStyle name="Followed Hyperlink" xfId="14" builtinId="9" hidden="1"/>
    <cellStyle name="Followed Hyperlink" xfId="6" builtinId="9" hidden="1"/>
    <cellStyle name="Followed Hyperlink" xfId="8" builtinId="9" hidden="1"/>
    <cellStyle name="Followed Hyperlink" xfId="4" builtinId="9" hidden="1"/>
    <cellStyle name="Followed Hyperlink" xfId="2" builtinId="9" hidden="1"/>
    <cellStyle name="Hyperlink" xfId="111" builtinId="8" hidden="1"/>
    <cellStyle name="Hyperlink" xfId="115" builtinId="8" hidden="1"/>
    <cellStyle name="Hyperlink" xfId="117" builtinId="8" hidden="1"/>
    <cellStyle name="Hyperlink" xfId="119" builtinId="8" hidden="1"/>
    <cellStyle name="Hyperlink" xfId="123" builtinId="8" hidden="1"/>
    <cellStyle name="Hyperlink" xfId="125" builtinId="8" hidden="1"/>
    <cellStyle name="Hyperlink" xfId="127" builtinId="8" hidden="1"/>
    <cellStyle name="Hyperlink" xfId="131" builtinId="8" hidden="1"/>
    <cellStyle name="Hyperlink" xfId="133" builtinId="8" hidden="1"/>
    <cellStyle name="Hyperlink" xfId="135" builtinId="8" hidden="1"/>
    <cellStyle name="Hyperlink" xfId="139" builtinId="8" hidden="1"/>
    <cellStyle name="Hyperlink" xfId="141" builtinId="8" hidden="1"/>
    <cellStyle name="Hyperlink" xfId="143" builtinId="8" hidden="1"/>
    <cellStyle name="Hyperlink" xfId="147" builtinId="8" hidden="1"/>
    <cellStyle name="Hyperlink" xfId="149" builtinId="8" hidden="1"/>
    <cellStyle name="Hyperlink" xfId="151" builtinId="8" hidden="1"/>
    <cellStyle name="Hyperlink" xfId="155" builtinId="8" hidden="1"/>
    <cellStyle name="Hyperlink" xfId="157" builtinId="8" hidden="1"/>
    <cellStyle name="Hyperlink" xfId="159" builtinId="8" hidden="1"/>
    <cellStyle name="Hyperlink" xfId="163" builtinId="8" hidden="1"/>
    <cellStyle name="Hyperlink" xfId="165" builtinId="8" hidden="1"/>
    <cellStyle name="Hyperlink" xfId="167" builtinId="8" hidden="1"/>
    <cellStyle name="Hyperlink" xfId="171" builtinId="8" hidden="1"/>
    <cellStyle name="Hyperlink" xfId="173" builtinId="8" hidden="1"/>
    <cellStyle name="Hyperlink" xfId="175" builtinId="8" hidden="1"/>
    <cellStyle name="Hyperlink" xfId="179" builtinId="8" hidden="1"/>
    <cellStyle name="Hyperlink" xfId="181" builtinId="8" hidden="1"/>
    <cellStyle name="Hyperlink" xfId="183" builtinId="8" hidden="1"/>
    <cellStyle name="Hyperlink" xfId="187" builtinId="8" hidden="1"/>
    <cellStyle name="Hyperlink" xfId="189" builtinId="8" hidden="1"/>
    <cellStyle name="Hyperlink" xfId="191" builtinId="8" hidden="1"/>
    <cellStyle name="Hyperlink" xfId="195" builtinId="8" hidden="1"/>
    <cellStyle name="Hyperlink" xfId="197" builtinId="8" hidden="1"/>
    <cellStyle name="Hyperlink" xfId="199" builtinId="8" hidden="1"/>
    <cellStyle name="Hyperlink" xfId="203" builtinId="8" hidden="1"/>
    <cellStyle name="Hyperlink" xfId="205" builtinId="8" hidden="1"/>
    <cellStyle name="Hyperlink" xfId="207" builtinId="8" hidden="1"/>
    <cellStyle name="Hyperlink" xfId="211" builtinId="8" hidden="1"/>
    <cellStyle name="Hyperlink" xfId="213" builtinId="8" hidden="1"/>
    <cellStyle name="Hyperlink" xfId="215" builtinId="8" hidden="1"/>
    <cellStyle name="Hyperlink" xfId="219" builtinId="8" hidden="1"/>
    <cellStyle name="Hyperlink" xfId="221" builtinId="8" hidden="1"/>
    <cellStyle name="Hyperlink" xfId="217" builtinId="8" hidden="1"/>
    <cellStyle name="Hyperlink" xfId="209" builtinId="8" hidden="1"/>
    <cellStyle name="Hyperlink" xfId="201" builtinId="8" hidden="1"/>
    <cellStyle name="Hyperlink" xfId="193" builtinId="8" hidden="1"/>
    <cellStyle name="Hyperlink" xfId="185" builtinId="8" hidden="1"/>
    <cellStyle name="Hyperlink" xfId="177" builtinId="8" hidden="1"/>
    <cellStyle name="Hyperlink" xfId="169" builtinId="8" hidden="1"/>
    <cellStyle name="Hyperlink" xfId="161" builtinId="8" hidden="1"/>
    <cellStyle name="Hyperlink" xfId="153" builtinId="8" hidden="1"/>
    <cellStyle name="Hyperlink" xfId="145" builtinId="8" hidden="1"/>
    <cellStyle name="Hyperlink" xfId="137" builtinId="8" hidden="1"/>
    <cellStyle name="Hyperlink" xfId="129" builtinId="8" hidden="1"/>
    <cellStyle name="Hyperlink" xfId="121" builtinId="8" hidden="1"/>
    <cellStyle name="Hyperlink" xfId="113" builtinId="8" hidden="1"/>
    <cellStyle name="Hyperlink" xfId="47"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97" builtinId="8" hidden="1"/>
    <cellStyle name="Hyperlink" xfId="81" builtinId="8" hidden="1"/>
    <cellStyle name="Hyperlink" xfId="65" builtinId="8" hidden="1"/>
    <cellStyle name="Hyperlink" xfId="49"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5" builtinId="8" hidden="1"/>
    <cellStyle name="Hyperlink" xfId="7" builtinId="8" hidden="1"/>
    <cellStyle name="Hyperlink" xfId="9" builtinId="8" hidden="1"/>
    <cellStyle name="Hyperlink" xfId="3" builtinId="8" hidden="1"/>
    <cellStyle name="Hyperlink" xfId="1" builtinId="8" hidden="1"/>
    <cellStyle name="Hyperlink" xfId="223" builtinId="8"/>
    <cellStyle name="Normal" xfId="0" builtinId="0"/>
  </cellStyles>
  <dxfs count="235">
    <dxf>
      <font>
        <color theme="5" tint="0.59999389629810485"/>
      </font>
      <fill>
        <patternFill patternType="solid">
          <fgColor indexed="64"/>
          <bgColor rgb="FFFF6600"/>
        </patternFill>
      </fill>
    </dxf>
    <dxf>
      <font>
        <color theme="5" tint="0.59999389629810485"/>
      </font>
      <fill>
        <patternFill patternType="solid">
          <fgColor indexed="64"/>
          <bgColor rgb="FFFF0000"/>
        </patternFill>
      </fill>
    </dxf>
    <dxf>
      <font>
        <color theme="5" tint="0.79998168889431442"/>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6600"/>
        </patternFill>
      </fill>
    </dxf>
    <dxf>
      <font>
        <color theme="5" tint="0.59999389629810485"/>
      </font>
      <fill>
        <patternFill patternType="solid">
          <fgColor indexed="64"/>
          <bgColor rgb="FFFF0000"/>
        </patternFill>
      </fill>
    </dxf>
    <dxf>
      <font>
        <color theme="0"/>
      </font>
      <fill>
        <patternFill patternType="solid">
          <fgColor indexed="64"/>
          <bgColor rgb="FF60DA4C"/>
        </patternFill>
      </fill>
    </dxf>
    <dxf>
      <font>
        <color theme="5" tint="0.59999389629810485"/>
      </font>
      <fill>
        <patternFill patternType="solid">
          <fgColor indexed="64"/>
          <bgColor rgb="FFFF0000"/>
        </patternFill>
      </fill>
    </dxf>
    <dxf>
      <font>
        <color rgb="FFFFFF00"/>
      </font>
      <fill>
        <patternFill patternType="solid">
          <fgColor indexed="64"/>
          <bgColor rgb="FFFF6600"/>
        </patternFill>
      </fill>
    </dxf>
    <dxf>
      <font>
        <color rgb="FFFFFF00"/>
      </font>
      <fill>
        <patternFill patternType="solid">
          <fgColor indexed="64"/>
          <bgColor rgb="FFFF0000"/>
        </patternFill>
      </fill>
    </dxf>
    <dxf>
      <font>
        <color rgb="FFFFFF00"/>
      </font>
      <fill>
        <patternFill patternType="solid">
          <fgColor indexed="64"/>
          <bgColor rgb="FFFF6600"/>
        </patternFill>
      </fill>
    </dxf>
    <dxf>
      <font>
        <color rgb="FFFFFF00"/>
      </font>
      <fill>
        <patternFill patternType="solid">
          <fgColor indexed="64"/>
          <bgColor rgb="FFFF0000"/>
        </patternFill>
      </fill>
    </dxf>
    <dxf>
      <font>
        <color rgb="FFFFFF00"/>
      </font>
      <fill>
        <patternFill patternType="solid">
          <fgColor indexed="64"/>
          <bgColor rgb="FFFF6600"/>
        </patternFill>
      </fill>
    </dxf>
    <dxf>
      <font>
        <color rgb="FFFFFF00"/>
      </font>
      <fill>
        <patternFill patternType="solid">
          <fgColor indexed="64"/>
          <bgColor rgb="FFFF0000"/>
        </patternFill>
      </fill>
    </dxf>
    <dxf>
      <font>
        <color rgb="FFFFFF00"/>
      </font>
      <fill>
        <patternFill patternType="solid">
          <fgColor indexed="64"/>
          <bgColor rgb="FFFF6600"/>
        </patternFill>
      </fill>
    </dxf>
    <dxf>
      <font>
        <color rgb="FFFFFF00"/>
      </font>
      <fill>
        <patternFill patternType="solid">
          <fgColor indexed="64"/>
          <bgColor rgb="FFFF0000"/>
        </patternFill>
      </fill>
    </dxf>
    <dxf>
      <font>
        <color rgb="FFFFFF00"/>
      </font>
      <fill>
        <patternFill patternType="solid">
          <fgColor indexed="64"/>
          <bgColor rgb="FFFF6600"/>
        </patternFill>
      </fill>
    </dxf>
    <dxf>
      <font>
        <color rgb="FFFFFF00"/>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rgb="FFFFFF00"/>
      </font>
      <fill>
        <patternFill patternType="solid">
          <fgColor indexed="64"/>
          <bgColor rgb="FFFB6B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rgb="FFFFFF00"/>
      </font>
      <fill>
        <patternFill patternType="solid">
          <fgColor indexed="64"/>
          <bgColor rgb="FFFB6B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rgb="FFFFFF00"/>
      </font>
      <fill>
        <patternFill patternType="solid">
          <fgColor indexed="64"/>
          <bgColor rgb="FFFB6B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rgb="FFFFFF00"/>
      </font>
      <fill>
        <patternFill patternType="solid">
          <fgColor indexed="64"/>
          <bgColor rgb="FFFB6B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rgb="FFFFFF00"/>
      </font>
      <fill>
        <patternFill patternType="solid">
          <fgColor indexed="64"/>
          <bgColor rgb="FFFB6B00"/>
        </patternFill>
      </fill>
    </dxf>
    <dxf>
      <font>
        <color rgb="FFFFFF00"/>
      </font>
      <fill>
        <patternFill patternType="solid">
          <fgColor indexed="64"/>
          <bgColor rgb="FFFF6600"/>
        </patternFill>
      </fill>
    </dxf>
    <dxf>
      <font>
        <color rgb="FFFFFF00"/>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rgb="FFFFFF00"/>
      </font>
      <fill>
        <patternFill patternType="solid">
          <fgColor indexed="64"/>
          <bgColor rgb="FFFB6B00"/>
        </patternFill>
      </fill>
    </dxf>
    <dxf>
      <font>
        <color theme="0"/>
      </font>
      <fill>
        <patternFill patternType="solid">
          <fgColor indexed="64"/>
          <bgColor rgb="FF60DA4C"/>
        </patternFill>
      </fill>
    </dxf>
    <dxf>
      <font>
        <color rgb="FFFFFF00"/>
      </font>
      <fill>
        <patternFill patternType="solid">
          <fgColor indexed="64"/>
          <bgColor rgb="FFFB6B00"/>
        </patternFill>
      </fill>
    </dxf>
    <dxf>
      <font>
        <color theme="5" tint="0.59999389629810485"/>
      </font>
      <fill>
        <patternFill patternType="solid">
          <fgColor indexed="64"/>
          <bgColor rgb="FFFF0000"/>
        </patternFill>
      </fill>
    </dxf>
    <dxf>
      <font>
        <color theme="0"/>
      </font>
      <fill>
        <patternFill patternType="solid">
          <fgColor indexed="64"/>
          <bgColor rgb="FF60DA4C"/>
        </patternFill>
      </fill>
    </dxf>
    <dxf>
      <font>
        <color rgb="FFFFFF00"/>
      </font>
      <fill>
        <patternFill patternType="solid">
          <fgColor indexed="64"/>
          <bgColor rgb="FFFB6B00"/>
        </patternFill>
      </fill>
    </dxf>
    <dxf>
      <font>
        <color theme="5" tint="0.59999389629810485"/>
      </font>
      <fill>
        <patternFill patternType="solid">
          <fgColor indexed="64"/>
          <bgColor rgb="FFFF0000"/>
        </patternFill>
      </fill>
    </dxf>
    <dxf>
      <font>
        <color theme="0"/>
      </font>
      <fill>
        <patternFill patternType="solid">
          <fgColor indexed="64"/>
          <bgColor rgb="FF60DA4C"/>
        </patternFill>
      </fill>
    </dxf>
    <dxf>
      <font>
        <color rgb="FFFFFF00"/>
      </font>
      <fill>
        <patternFill patternType="solid">
          <fgColor indexed="64"/>
          <bgColor rgb="FFFB6B00"/>
        </patternFill>
      </fill>
    </dxf>
    <dxf>
      <font>
        <color theme="5" tint="0.59999389629810485"/>
      </font>
      <fill>
        <patternFill patternType="solid">
          <fgColor indexed="64"/>
          <bgColor rgb="FFFF0000"/>
        </patternFill>
      </fill>
    </dxf>
    <dxf>
      <font>
        <color theme="0"/>
      </font>
      <fill>
        <patternFill patternType="solid">
          <fgColor indexed="64"/>
          <bgColor rgb="FF60DA4C"/>
        </patternFill>
      </fill>
    </dxf>
    <dxf>
      <font>
        <color rgb="FFFFFF00"/>
      </font>
      <fill>
        <patternFill patternType="solid">
          <fgColor indexed="64"/>
          <bgColor rgb="FFFB6B00"/>
        </patternFill>
      </fill>
    </dxf>
    <dxf>
      <font>
        <color theme="5" tint="0.59999389629810485"/>
      </font>
      <fill>
        <patternFill patternType="solid">
          <fgColor indexed="64"/>
          <bgColor rgb="FFFF0000"/>
        </patternFill>
      </fill>
    </dxf>
    <dxf>
      <font>
        <color theme="0"/>
      </font>
      <fill>
        <patternFill patternType="solid">
          <fgColor indexed="64"/>
          <bgColor rgb="FF60DA4C"/>
        </patternFill>
      </fill>
    </dxf>
    <dxf>
      <font>
        <color rgb="FFFFFF00"/>
      </font>
      <fill>
        <patternFill patternType="solid">
          <fgColor indexed="64"/>
          <bgColor rgb="FFFB6B00"/>
        </patternFill>
      </fill>
    </dxf>
    <dxf>
      <font>
        <color theme="5" tint="0.59999389629810485"/>
      </font>
      <fill>
        <patternFill patternType="solid">
          <fgColor indexed="64"/>
          <bgColor rgb="FFFF0000"/>
        </patternFill>
      </fill>
    </dxf>
    <dxf>
      <font>
        <color theme="0"/>
      </font>
      <fill>
        <patternFill patternType="solid">
          <fgColor indexed="64"/>
          <bgColor rgb="FF60DA4C"/>
        </patternFill>
      </fill>
    </dxf>
    <dxf>
      <font>
        <color rgb="FFFFFF00"/>
      </font>
      <fill>
        <patternFill patternType="solid">
          <fgColor indexed="64"/>
          <bgColor rgb="FFFB6B00"/>
        </patternFill>
      </fill>
    </dxf>
    <dxf>
      <font>
        <color theme="5" tint="0.59999389629810485"/>
      </font>
      <fill>
        <patternFill patternType="solid">
          <fgColor indexed="64"/>
          <bgColor rgb="FFFF0000"/>
        </patternFill>
      </fill>
    </dxf>
    <dxf>
      <font>
        <color rgb="FF60DA4C"/>
      </font>
      <fill>
        <patternFill patternType="solid">
          <fgColor indexed="64"/>
          <bgColor theme="1" tint="0.249977111117893"/>
        </patternFill>
      </fill>
    </dxf>
    <dxf>
      <font>
        <color rgb="FFFF6600"/>
      </font>
      <fill>
        <patternFill patternType="solid">
          <fgColor indexed="64"/>
          <bgColor theme="1" tint="0.249977111117893"/>
        </patternFill>
      </fill>
    </dxf>
    <dxf>
      <font>
        <color rgb="FFFF0000"/>
      </font>
      <fill>
        <patternFill patternType="solid">
          <fgColor indexed="64"/>
          <bgColor theme="1" tint="0.249977111117893"/>
        </patternFill>
      </fill>
    </dxf>
    <dxf>
      <font>
        <color rgb="FF60DA4C"/>
      </font>
      <fill>
        <patternFill patternType="solid">
          <fgColor indexed="64"/>
          <bgColor theme="1" tint="0.249977111117893"/>
        </patternFill>
      </fill>
    </dxf>
    <dxf>
      <font>
        <color rgb="FFFF6600"/>
      </font>
      <fill>
        <patternFill patternType="solid">
          <fgColor indexed="64"/>
          <bgColor theme="1" tint="0.249977111117893"/>
        </patternFill>
      </fill>
    </dxf>
    <dxf>
      <font>
        <color rgb="FFFF0000"/>
      </font>
      <fill>
        <patternFill patternType="solid">
          <fgColor indexed="64"/>
          <bgColor theme="1" tint="0.249977111117893"/>
        </patternFill>
      </fill>
    </dxf>
    <dxf>
      <font>
        <color rgb="FF60DA4C"/>
      </font>
      <fill>
        <patternFill patternType="solid">
          <fgColor indexed="64"/>
          <bgColor theme="1" tint="0.249977111117893"/>
        </patternFill>
      </fill>
    </dxf>
    <dxf>
      <font>
        <color rgb="FFFF6600"/>
      </font>
      <fill>
        <patternFill patternType="solid">
          <fgColor indexed="64"/>
          <bgColor theme="1" tint="0.249977111117893"/>
        </patternFill>
      </fill>
    </dxf>
    <dxf>
      <font>
        <color rgb="FFFF0000"/>
      </font>
      <fill>
        <patternFill patternType="solid">
          <fgColor indexed="64"/>
          <bgColor theme="1" tint="0.249977111117893"/>
        </patternFill>
      </fill>
    </dxf>
    <dxf>
      <font>
        <color rgb="FF60DA4C"/>
      </font>
      <fill>
        <patternFill patternType="solid">
          <fgColor indexed="64"/>
          <bgColor theme="1" tint="0.249977111117893"/>
        </patternFill>
      </fill>
    </dxf>
    <dxf>
      <font>
        <color rgb="FFFF6600"/>
      </font>
      <fill>
        <patternFill patternType="solid">
          <fgColor indexed="64"/>
          <bgColor theme="1" tint="0.249977111117893"/>
        </patternFill>
      </fill>
    </dxf>
    <dxf>
      <font>
        <color rgb="FFFF0000"/>
      </font>
      <fill>
        <patternFill patternType="solid">
          <fgColor indexed="64"/>
          <bgColor theme="1" tint="0.249977111117893"/>
        </patternFill>
      </fill>
    </dxf>
    <dxf>
      <font>
        <color rgb="FF60DA4C"/>
      </font>
      <fill>
        <patternFill patternType="solid">
          <fgColor indexed="64"/>
          <bgColor theme="1" tint="0.249977111117893"/>
        </patternFill>
      </fill>
    </dxf>
    <dxf>
      <font>
        <color rgb="FFFF6600"/>
      </font>
      <fill>
        <patternFill patternType="solid">
          <fgColor indexed="64"/>
          <bgColor theme="1" tint="0.249977111117893"/>
        </patternFill>
      </fill>
    </dxf>
    <dxf>
      <font>
        <color rgb="FFFF0000"/>
      </font>
      <fill>
        <patternFill patternType="solid">
          <fgColor indexed="64"/>
          <bgColor theme="1" tint="0.249977111117893"/>
        </patternFill>
      </fill>
    </dxf>
    <dxf>
      <font>
        <color rgb="FF60DA4C"/>
      </font>
      <fill>
        <patternFill patternType="solid">
          <fgColor indexed="64"/>
          <bgColor theme="1" tint="0.249977111117893"/>
        </patternFill>
      </fill>
    </dxf>
    <dxf>
      <font>
        <color rgb="FFFF6600"/>
      </font>
      <fill>
        <patternFill patternType="solid">
          <fgColor indexed="64"/>
          <bgColor theme="1" tint="0.249977111117893"/>
        </patternFill>
      </fill>
    </dxf>
    <dxf>
      <font>
        <color rgb="FFFF0000"/>
      </font>
      <fill>
        <patternFill patternType="solid">
          <fgColor indexed="64"/>
          <bgColor theme="1" tint="0.249977111117893"/>
        </patternFill>
      </fill>
    </dxf>
    <dxf>
      <font>
        <color rgb="FF60DA4C"/>
      </font>
      <fill>
        <patternFill patternType="solid">
          <fgColor indexed="64"/>
          <bgColor theme="1" tint="0.249977111117893"/>
        </patternFill>
      </fill>
    </dxf>
    <dxf>
      <font>
        <color rgb="FFFF6600"/>
      </font>
      <fill>
        <patternFill patternType="solid">
          <fgColor indexed="64"/>
          <bgColor theme="1" tint="0.249977111117893"/>
        </patternFill>
      </fill>
    </dxf>
    <dxf>
      <font>
        <color rgb="FFFF0000"/>
      </font>
      <fill>
        <patternFill patternType="solid">
          <fgColor indexed="64"/>
          <bgColor theme="1" tint="0.249977111117893"/>
        </patternFill>
      </fill>
    </dxf>
    <dxf>
      <font>
        <color theme="0"/>
      </font>
      <fill>
        <patternFill patternType="solid">
          <fgColor indexed="64"/>
          <bgColor rgb="FF60DA4C"/>
        </patternFill>
      </fill>
    </dxf>
    <dxf>
      <font>
        <color theme="0"/>
      </font>
      <fill>
        <patternFill patternType="solid">
          <fgColor indexed="64"/>
          <bgColor rgb="FFFF6600"/>
        </patternFill>
      </fill>
    </dxf>
    <dxf>
      <font>
        <color theme="0"/>
      </font>
      <fill>
        <patternFill patternType="solid">
          <fgColor indexed="64"/>
          <bgColor rgb="FFFF0000"/>
        </patternFill>
      </fill>
    </dxf>
    <dxf>
      <font>
        <color theme="5" tint="0.59999389629810485"/>
      </font>
      <fill>
        <patternFill patternType="solid">
          <fgColor indexed="64"/>
          <bgColor rgb="FFFF6600"/>
        </patternFill>
      </fill>
    </dxf>
    <dxf>
      <font>
        <color theme="5" tint="0.59999389629810485"/>
      </font>
      <fill>
        <patternFill patternType="solid">
          <fgColor indexed="64"/>
          <bgColor rgb="FFFF0000"/>
        </patternFill>
      </fill>
    </dxf>
    <dxf>
      <font>
        <color theme="5" tint="0.79998168889431442"/>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66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6600"/>
        </patternFill>
      </fill>
    </dxf>
    <dxf>
      <font>
        <color theme="5" tint="0.59999389629810485"/>
      </font>
      <fill>
        <patternFill patternType="solid">
          <fgColor indexed="64"/>
          <bgColor rgb="FFFF0000"/>
        </patternFill>
      </fill>
    </dxf>
    <dxf>
      <font>
        <color theme="5" tint="0.79998168889431442"/>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66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6600"/>
        </patternFill>
      </fill>
    </dxf>
    <dxf>
      <font>
        <color theme="5" tint="0.59999389629810485"/>
      </font>
      <fill>
        <patternFill patternType="solid">
          <fgColor indexed="64"/>
          <bgColor rgb="FFFF0000"/>
        </patternFill>
      </fill>
    </dxf>
    <dxf>
      <font>
        <color theme="5" tint="0.79998168889431442"/>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66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6600"/>
        </patternFill>
      </fill>
    </dxf>
    <dxf>
      <font>
        <color theme="5" tint="0.59999389629810485"/>
      </font>
      <fill>
        <patternFill patternType="solid">
          <fgColor indexed="64"/>
          <bgColor rgb="FFFF0000"/>
        </patternFill>
      </fill>
    </dxf>
    <dxf>
      <font>
        <color theme="5" tint="0.79998168889431442"/>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66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6600"/>
        </patternFill>
      </fill>
    </dxf>
    <dxf>
      <font>
        <color theme="5" tint="0.59999389629810485"/>
      </font>
      <fill>
        <patternFill patternType="solid">
          <fgColor indexed="64"/>
          <bgColor rgb="FFFF0000"/>
        </patternFill>
      </fill>
    </dxf>
    <dxf>
      <font>
        <color theme="5" tint="0.79998168889431442"/>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66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6600"/>
        </patternFill>
      </fill>
    </dxf>
    <dxf>
      <font>
        <color theme="5" tint="0.59999389629810485"/>
      </font>
      <fill>
        <patternFill patternType="solid">
          <fgColor indexed="64"/>
          <bgColor rgb="FFFF0000"/>
        </patternFill>
      </fill>
    </dxf>
    <dxf>
      <font>
        <color theme="5" tint="0.79998168889431442"/>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6600"/>
        </patternFill>
      </fill>
    </dxf>
    <dxf>
      <font>
        <color theme="5" tint="0.59999389629810485"/>
      </font>
      <fill>
        <patternFill patternType="solid">
          <fgColor indexed="64"/>
          <bgColor rgb="FFFF0000"/>
        </patternFill>
      </fill>
    </dxf>
    <dxf>
      <font>
        <color theme="0"/>
      </font>
      <fill>
        <patternFill patternType="solid">
          <fgColor indexed="64"/>
          <bgColor rgb="FF60DA4C"/>
        </patternFill>
      </fill>
    </dxf>
    <dxf>
      <font>
        <color theme="5" tint="0.59999389629810485"/>
      </font>
      <fill>
        <patternFill patternType="solid">
          <fgColor indexed="64"/>
          <bgColor rgb="FFFF0000"/>
        </patternFill>
      </fill>
    </dxf>
    <dxf>
      <font>
        <color theme="0"/>
      </font>
      <fill>
        <patternFill patternType="solid">
          <fgColor indexed="64"/>
          <bgColor rgb="FF60DA4C"/>
        </patternFill>
      </fill>
    </dxf>
    <dxf>
      <font>
        <color theme="5" tint="0.59999389629810485"/>
      </font>
      <fill>
        <patternFill patternType="solid">
          <fgColor indexed="64"/>
          <bgColor rgb="FFFF0000"/>
        </patternFill>
      </fill>
    </dxf>
    <dxf>
      <font>
        <color theme="0"/>
      </font>
      <fill>
        <patternFill patternType="solid">
          <fgColor indexed="64"/>
          <bgColor rgb="FF60DA4C"/>
        </patternFill>
      </fill>
    </dxf>
    <dxf>
      <font>
        <color theme="5" tint="0.59999389629810485"/>
      </font>
      <fill>
        <patternFill patternType="solid">
          <fgColor indexed="64"/>
          <bgColor rgb="FFFF0000"/>
        </patternFill>
      </fill>
    </dxf>
    <dxf>
      <font>
        <color theme="0"/>
      </font>
      <fill>
        <patternFill patternType="solid">
          <fgColor indexed="64"/>
          <bgColor rgb="FF60DA4C"/>
        </patternFill>
      </fill>
    </dxf>
    <dxf>
      <font>
        <color theme="5" tint="0.59999389629810485"/>
      </font>
      <fill>
        <patternFill patternType="solid">
          <fgColor indexed="64"/>
          <bgColor rgb="FFFF0000"/>
        </patternFill>
      </fill>
    </dxf>
    <dxf>
      <font>
        <color theme="0"/>
      </font>
      <fill>
        <patternFill patternType="solid">
          <fgColor indexed="64"/>
          <bgColor rgb="FF60DA4C"/>
        </patternFill>
      </fill>
    </dxf>
    <dxf>
      <font>
        <color theme="5" tint="0.59999389629810485"/>
      </font>
      <fill>
        <patternFill patternType="solid">
          <fgColor indexed="64"/>
          <bgColor rgb="FFFF0000"/>
        </patternFill>
      </fill>
    </dxf>
    <dxf>
      <font>
        <color theme="0"/>
      </font>
      <fill>
        <patternFill patternType="solid">
          <fgColor indexed="64"/>
          <bgColor rgb="FF60DA4C"/>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border>
        <left/>
        <right/>
        <top/>
        <bottom/>
      </border>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border>
        <left/>
        <right/>
        <top/>
        <bottom/>
      </border>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border>
        <left/>
        <right/>
        <top/>
        <bottom/>
      </border>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border>
        <left/>
        <right/>
        <top/>
        <bottom/>
      </border>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border>
        <left/>
        <right/>
        <top/>
        <bottom/>
      </border>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border>
        <left/>
        <right/>
        <top/>
        <bottom/>
      </border>
    </dxf>
    <dxf>
      <font>
        <color theme="0"/>
      </font>
      <fill>
        <patternFill patternType="solid">
          <fgColor indexed="64"/>
          <bgColor rgb="FF60DA4C"/>
        </patternFill>
      </fill>
    </dxf>
    <dxf>
      <font>
        <color theme="5" tint="0.59999389629810485"/>
      </font>
      <fill>
        <patternFill patternType="solid">
          <fgColor indexed="64"/>
          <bgColor rgb="FFFF0000"/>
        </patternFill>
      </fill>
    </dxf>
    <dxf>
      <font>
        <color theme="0"/>
      </font>
      <fill>
        <patternFill patternType="solid">
          <fgColor indexed="64"/>
          <bgColor rgb="FF60DA4C"/>
        </patternFill>
      </fill>
    </dxf>
    <dxf>
      <font>
        <color theme="5" tint="0.59999389629810485"/>
      </font>
      <fill>
        <patternFill patternType="solid">
          <fgColor indexed="64"/>
          <bgColor rgb="FFFF0000"/>
        </patternFill>
      </fill>
    </dxf>
    <dxf>
      <font>
        <color theme="0"/>
      </font>
      <fill>
        <patternFill patternType="solid">
          <fgColor indexed="64"/>
          <bgColor rgb="FF60DA4C"/>
        </patternFill>
      </fill>
    </dxf>
    <dxf>
      <font>
        <color theme="5" tint="0.59999389629810485"/>
      </font>
      <fill>
        <patternFill patternType="solid">
          <fgColor indexed="64"/>
          <bgColor rgb="FFFF0000"/>
        </patternFill>
      </fill>
    </dxf>
    <dxf>
      <font>
        <color theme="0"/>
      </font>
      <fill>
        <patternFill patternType="solid">
          <fgColor indexed="64"/>
          <bgColor rgb="FF60DA4C"/>
        </patternFill>
      </fill>
    </dxf>
    <dxf>
      <font>
        <color theme="5" tint="0.59999389629810485"/>
      </font>
      <fill>
        <patternFill patternType="solid">
          <fgColor indexed="64"/>
          <bgColor rgb="FFFF0000"/>
        </patternFill>
      </fill>
    </dxf>
    <dxf>
      <font>
        <color theme="0"/>
      </font>
      <fill>
        <patternFill patternType="solid">
          <fgColor indexed="64"/>
          <bgColor rgb="FF60DA4C"/>
        </patternFill>
      </fill>
    </dxf>
    <dxf>
      <font>
        <color theme="5" tint="0.59999389629810485"/>
      </font>
      <fill>
        <patternFill patternType="solid">
          <fgColor indexed="64"/>
          <bgColor rgb="FFFF0000"/>
        </patternFill>
      </fill>
    </dxf>
    <dxf>
      <font>
        <color theme="0"/>
      </font>
      <fill>
        <patternFill patternType="solid">
          <fgColor indexed="64"/>
          <bgColor rgb="FF60DA4C"/>
        </patternFill>
      </fill>
    </dxf>
    <dxf>
      <font>
        <color theme="5" tint="0.59999389629810485"/>
      </font>
      <fill>
        <patternFill patternType="solid">
          <fgColor indexed="64"/>
          <bgColor rgb="FFFF0000"/>
        </patternFill>
      </fill>
    </dxf>
    <dxf>
      <font>
        <color theme="1" tint="0.24994659260841701"/>
      </font>
      <fill>
        <patternFill>
          <bgColor theme="1" tint="0.24994659260841701"/>
        </patternFill>
      </fill>
      <border>
        <left/>
        <right/>
        <top/>
        <bottom/>
      </border>
    </dxf>
    <dxf>
      <font>
        <color theme="0"/>
      </font>
      <fill>
        <patternFill patternType="solid">
          <fgColor indexed="64"/>
          <bgColor rgb="FFFF0000"/>
        </patternFill>
      </fill>
    </dxf>
    <dxf>
      <font>
        <color theme="0"/>
      </font>
      <fill>
        <patternFill patternType="solid">
          <fgColor indexed="64"/>
          <bgColor rgb="FF60DA4C"/>
        </patternFill>
      </fill>
    </dxf>
    <dxf>
      <font>
        <color theme="1" tint="0.24994659260841701"/>
      </font>
      <fill>
        <patternFill>
          <bgColor theme="1" tint="0.24994659260841701"/>
        </patternFill>
      </fill>
      <border>
        <left/>
        <right/>
        <top/>
        <bottom/>
      </border>
    </dxf>
    <dxf>
      <font>
        <color theme="0"/>
      </font>
      <fill>
        <patternFill patternType="solid">
          <fgColor indexed="64"/>
          <bgColor rgb="FFFF0000"/>
        </patternFill>
      </fill>
    </dxf>
    <dxf>
      <font>
        <color theme="0"/>
      </font>
      <fill>
        <patternFill patternType="solid">
          <fgColor indexed="64"/>
          <bgColor rgb="FF60DA4C"/>
        </patternFill>
      </fill>
    </dxf>
    <dxf>
      <font>
        <color theme="1" tint="0.24994659260841701"/>
      </font>
      <fill>
        <patternFill>
          <bgColor theme="1" tint="0.24994659260841701"/>
        </patternFill>
      </fill>
      <border>
        <left/>
        <right/>
        <top/>
        <bottom/>
      </border>
    </dxf>
    <dxf>
      <font>
        <color theme="0"/>
      </font>
      <fill>
        <patternFill patternType="solid">
          <fgColor indexed="64"/>
          <bgColor rgb="FFFF0000"/>
        </patternFill>
      </fill>
    </dxf>
    <dxf>
      <font>
        <color theme="0"/>
      </font>
      <fill>
        <patternFill patternType="solid">
          <fgColor indexed="64"/>
          <bgColor rgb="FF60DA4C"/>
        </patternFill>
      </fill>
    </dxf>
    <dxf>
      <font>
        <color theme="1" tint="0.24994659260841701"/>
      </font>
      <fill>
        <patternFill>
          <bgColor theme="1" tint="0.24994659260841701"/>
        </patternFill>
      </fill>
      <border>
        <left/>
        <right/>
        <top/>
        <bottom/>
      </border>
    </dxf>
    <dxf>
      <font>
        <color theme="0"/>
      </font>
      <fill>
        <patternFill patternType="solid">
          <fgColor indexed="64"/>
          <bgColor rgb="FFFF0000"/>
        </patternFill>
      </fill>
    </dxf>
    <dxf>
      <font>
        <color theme="0"/>
      </font>
      <fill>
        <patternFill patternType="solid">
          <fgColor indexed="64"/>
          <bgColor rgb="FF60DA4C"/>
        </patternFill>
      </fill>
    </dxf>
    <dxf>
      <font>
        <color theme="1" tint="0.24994659260841701"/>
      </font>
      <fill>
        <patternFill>
          <bgColor theme="1" tint="0.24994659260841701"/>
        </patternFill>
      </fill>
      <border>
        <left/>
        <right/>
        <top/>
        <bottom/>
      </border>
    </dxf>
    <dxf>
      <font>
        <color theme="0"/>
      </font>
      <fill>
        <patternFill patternType="solid">
          <fgColor indexed="64"/>
          <bgColor rgb="FFFF0000"/>
        </patternFill>
      </fill>
    </dxf>
    <dxf>
      <font>
        <color theme="0"/>
      </font>
      <fill>
        <patternFill patternType="solid">
          <fgColor indexed="64"/>
          <bgColor rgb="FF60DA4C"/>
        </patternFill>
      </fill>
    </dxf>
    <dxf>
      <font>
        <color theme="1" tint="0.24994659260841701"/>
      </font>
      <fill>
        <patternFill>
          <bgColor theme="1" tint="0.24994659260841701"/>
        </patternFill>
      </fill>
      <border>
        <left/>
        <right/>
        <top/>
        <bottom/>
      </border>
    </dxf>
    <dxf>
      <font>
        <color theme="0"/>
      </font>
      <fill>
        <patternFill patternType="solid">
          <fgColor indexed="64"/>
          <bgColor rgb="FFFF0000"/>
        </patternFill>
      </fill>
    </dxf>
    <dxf>
      <font>
        <color theme="0"/>
      </font>
      <fill>
        <patternFill patternType="solid">
          <fgColor indexed="64"/>
          <bgColor rgb="FF60DA4C"/>
        </patternFill>
      </fill>
    </dxf>
    <dxf>
      <font>
        <color theme="0"/>
      </font>
      <fill>
        <patternFill patternType="solid">
          <fgColor indexed="64"/>
          <bgColor rgb="FFFF0000"/>
        </patternFill>
      </fill>
    </dxf>
    <dxf>
      <font>
        <color theme="0"/>
      </font>
      <fill>
        <patternFill patternType="solid">
          <fgColor indexed="64"/>
          <bgColor rgb="FF60DA4C"/>
        </patternFill>
      </fill>
    </dxf>
    <dxf>
      <font>
        <color theme="0"/>
      </font>
      <fill>
        <patternFill patternType="solid">
          <fgColor indexed="64"/>
          <bgColor rgb="FFFF0000"/>
        </patternFill>
      </fill>
    </dxf>
    <dxf>
      <font>
        <color theme="0"/>
      </font>
      <fill>
        <patternFill patternType="solid">
          <fgColor indexed="64"/>
          <bgColor rgb="FF60DA4C"/>
        </patternFill>
      </fill>
    </dxf>
    <dxf>
      <font>
        <color theme="0"/>
      </font>
      <fill>
        <patternFill patternType="solid">
          <fgColor indexed="64"/>
          <bgColor rgb="FFFF0000"/>
        </patternFill>
      </fill>
    </dxf>
    <dxf>
      <font>
        <color theme="0"/>
      </font>
      <fill>
        <patternFill patternType="solid">
          <fgColor indexed="64"/>
          <bgColor rgb="FF60DA4C"/>
        </patternFill>
      </fill>
    </dxf>
    <dxf>
      <font>
        <color theme="0"/>
      </font>
      <fill>
        <patternFill patternType="solid">
          <fgColor indexed="64"/>
          <bgColor rgb="FFFF0000"/>
        </patternFill>
      </fill>
    </dxf>
    <dxf>
      <font>
        <color theme="0"/>
      </font>
      <fill>
        <patternFill patternType="solid">
          <fgColor indexed="64"/>
          <bgColor rgb="FF60DA4C"/>
        </patternFill>
      </fill>
    </dxf>
    <dxf>
      <font>
        <color theme="0"/>
      </font>
      <fill>
        <patternFill patternType="solid">
          <fgColor indexed="64"/>
          <bgColor rgb="FFFF0000"/>
        </patternFill>
      </fill>
    </dxf>
    <dxf>
      <font>
        <color theme="0"/>
      </font>
      <fill>
        <patternFill patternType="solid">
          <fgColor indexed="64"/>
          <bgColor rgb="FF60DA4C"/>
        </patternFill>
      </fill>
    </dxf>
    <dxf>
      <font>
        <color theme="0"/>
      </font>
      <fill>
        <patternFill patternType="solid">
          <fgColor indexed="64"/>
          <bgColor rgb="FFFF0000"/>
        </patternFill>
      </fill>
    </dxf>
    <dxf>
      <font>
        <color theme="0"/>
      </font>
      <fill>
        <patternFill patternType="solid">
          <fgColor indexed="64"/>
          <bgColor rgb="FF60DA4C"/>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rgb="FFFFFF00"/>
      </font>
      <fill>
        <patternFill patternType="solid">
          <fgColor indexed="64"/>
          <bgColor rgb="FFFB6B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0"/>
      </font>
      <fill>
        <patternFill>
          <bgColor rgb="FFFF0000"/>
        </patternFill>
      </fill>
    </dxf>
    <dxf>
      <font>
        <color theme="5" tint="0.59999389629810485"/>
      </font>
      <fill>
        <patternFill patternType="solid">
          <fgColor indexed="64"/>
          <bgColor rgb="FFFF0000"/>
        </patternFill>
      </fill>
    </dxf>
    <dxf>
      <font>
        <color theme="5" tint="0.59999389629810485"/>
      </font>
      <fill>
        <patternFill patternType="solid">
          <fgColor indexed="64"/>
          <bgColor rgb="FFFF0000"/>
        </patternFill>
      </fill>
    </dxf>
    <dxf>
      <font>
        <color theme="0"/>
      </font>
      <fill>
        <patternFill>
          <bgColor rgb="FFFF0000"/>
        </patternFill>
      </fill>
    </dxf>
    <dxf>
      <font>
        <color theme="1"/>
      </font>
      <fill>
        <patternFill patternType="none">
          <bgColor auto="1"/>
        </patternFill>
      </fill>
      <border>
        <left style="thin">
          <color auto="1"/>
        </left>
        <right style="thin">
          <color auto="1"/>
        </right>
        <top style="thin">
          <color auto="1"/>
        </top>
        <bottom style="thin">
          <color auto="1"/>
        </bottom>
      </border>
    </dxf>
    <dxf>
      <font>
        <color auto="1"/>
      </font>
      <fill>
        <patternFill patternType="none">
          <bgColor auto="1"/>
        </patternFill>
      </fill>
      <border>
        <left/>
        <right/>
        <top/>
        <bottom/>
      </border>
    </dxf>
    <dxf>
      <font>
        <b/>
        <i val="0"/>
        <strike val="0"/>
        <color auto="1"/>
      </font>
      <fill>
        <patternFill patternType="none">
          <bgColor auto="1"/>
        </patternFill>
      </fill>
    </dxf>
  </dxfs>
  <tableStyles count="0" defaultTableStyle="TableStyleMedium9" defaultPivotStyle="PivotStyleMedium4"/>
  <colors>
    <mruColors>
      <color rgb="FFFB6B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30.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31.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5.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36.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40.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41.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45.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_rels/chart46.xml.rels><?xml version="1.0" encoding="UTF-8" standalone="yes"?>
<Relationships xmlns="http://schemas.openxmlformats.org/package/2006/relationships"><Relationship Id="rId1" Type="http://schemas.openxmlformats.org/officeDocument/2006/relationships/themeOverride" Target="../theme/themeOverride8.xml"/></Relationships>
</file>

<file path=xl/charts/_rels/chart50.xml.rels><?xml version="1.0" encoding="UTF-8" standalone="yes"?>
<Relationships xmlns="http://schemas.openxmlformats.org/package/2006/relationships"><Relationship Id="rId1" Type="http://schemas.openxmlformats.org/officeDocument/2006/relationships/themeOverride" Target="../theme/themeOverride9.xml"/></Relationships>
</file>

<file path=xl/charts/_rels/chart51.xml.rels><?xml version="1.0" encoding="UTF-8" standalone="yes"?>
<Relationships xmlns="http://schemas.openxmlformats.org/package/2006/relationships"><Relationship Id="rId1" Type="http://schemas.openxmlformats.org/officeDocument/2006/relationships/themeOverride" Target="../theme/themeOverride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manualLayout>
          <c:layoutTarget val="inner"/>
          <c:xMode val="edge"/>
          <c:yMode val="edge"/>
          <c:x val="7.4320775868161196E-3"/>
          <c:y val="0"/>
          <c:w val="0.967538095719783"/>
          <c:h val="0.99231718404756897"/>
        </c:manualLayout>
      </c:layout>
      <c:pieChart>
        <c:varyColors val="1"/>
        <c:ser>
          <c:idx val="0"/>
          <c:order val="0"/>
          <c:dLbls>
            <c:dLbl>
              <c:idx val="0"/>
              <c:dLblPos val="ct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20C-5A43-8F14-6379068AF377}"/>
                </c:ext>
              </c:extLst>
            </c:dLbl>
            <c:dLbl>
              <c:idx val="1"/>
              <c:dLblPos val="ct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20C-5A43-8F14-6379068AF377}"/>
                </c:ext>
              </c:extLst>
            </c:dLbl>
            <c:dLbl>
              <c:idx val="2"/>
              <c:dLblPos val="ctr"/>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20C-5A43-8F14-6379068AF377}"/>
                </c:ext>
              </c:extLst>
            </c:dLbl>
            <c:spPr>
              <a:noFill/>
              <a:ln>
                <a:noFill/>
              </a:ln>
              <a:effectLst/>
            </c:spPr>
            <c:txPr>
              <a:bodyPr/>
              <a:lstStyle/>
              <a:p>
                <a:pPr>
                  <a:defRPr sz="2000">
                    <a:solidFill>
                      <a:schemeClr val="tx1">
                        <a:lumMod val="75000"/>
                        <a:lumOff val="25000"/>
                      </a:schemeClr>
                    </a:solidFill>
                  </a:defRPr>
                </a:pPr>
                <a:endParaRPr lang="en-CH"/>
              </a:p>
            </c:txPr>
            <c:showLegendKey val="0"/>
            <c:showVal val="0"/>
            <c:showCatName val="1"/>
            <c:showSerName val="0"/>
            <c:showPercent val="1"/>
            <c:showBubbleSize val="0"/>
            <c:showLeaderLines val="1"/>
            <c:extLst>
              <c:ext xmlns:c15="http://schemas.microsoft.com/office/drawing/2012/chart" uri="{CE6537A1-D6FC-4f65-9D91-7224C49458BB}"/>
            </c:extLst>
          </c:dLbls>
          <c:cat>
            <c:strRef>
              <c:f>'Master EU'!$Q$6:$S$6</c:f>
              <c:strCache>
                <c:ptCount val="3"/>
                <c:pt idx="0">
                  <c:v>L1</c:v>
                </c:pt>
                <c:pt idx="1">
                  <c:v>L2</c:v>
                </c:pt>
                <c:pt idx="2">
                  <c:v>L3</c:v>
                </c:pt>
              </c:strCache>
            </c:strRef>
          </c:cat>
          <c:val>
            <c:numRef>
              <c:f>'Master EU'!$Q$7:$S$7</c:f>
              <c:numCache>
                <c:formatCode>General</c:formatCode>
                <c:ptCount val="3"/>
                <c:pt idx="0">
                  <c:v>198.04199999999997</c:v>
                </c:pt>
                <c:pt idx="1">
                  <c:v>185.56199999999998</c:v>
                </c:pt>
                <c:pt idx="2">
                  <c:v>185.56199999999998</c:v>
                </c:pt>
              </c:numCache>
            </c:numRef>
          </c:val>
          <c:extLst>
            <c:ext xmlns:c16="http://schemas.microsoft.com/office/drawing/2014/chart" uri="{C3380CC4-5D6E-409C-BE32-E72D297353CC}">
              <c16:uniqueId val="{00000003-E20C-5A43-8F14-6379068AF377}"/>
            </c:ext>
          </c:extLst>
        </c:ser>
        <c:dLbls>
          <c:showLegendKey val="0"/>
          <c:showVal val="0"/>
          <c:showCatName val="0"/>
          <c:showSerName val="0"/>
          <c:showPercent val="0"/>
          <c:showBubbleSize val="0"/>
          <c:showLeaderLines val="1"/>
        </c:dLbls>
        <c:firstSliceAng val="0"/>
      </c:pieChart>
      <c:spPr>
        <a:noFill/>
      </c:spPr>
    </c:plotArea>
    <c:plotVisOnly val="0"/>
    <c:dispBlanksAs val="gap"/>
    <c:showDLblsOverMax val="0"/>
  </c:chart>
  <c:spPr>
    <a:noFill/>
    <a:ln>
      <a:noFill/>
    </a:ln>
  </c:spPr>
  <c:printSettings>
    <c:headerFooter/>
    <c:pageMargins b="1" l="0.75" r="0.75"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chemeClr val="bg1"/>
                </a:solidFill>
              </a:defRPr>
            </a:pPr>
            <a:r>
              <a:rPr lang="en-US" sz="1200">
                <a:solidFill>
                  <a:schemeClr val="bg1"/>
                </a:solidFill>
              </a:rPr>
              <a:t>Input</a:t>
            </a:r>
            <a:r>
              <a:rPr lang="en-US" sz="1200" baseline="0">
                <a:solidFill>
                  <a:schemeClr val="bg1"/>
                </a:solidFill>
              </a:rPr>
              <a:t> Balance MLTC %</a:t>
            </a:r>
          </a:p>
        </c:rich>
      </c:tx>
      <c:overlay val="0"/>
    </c:title>
    <c:autoTitleDeleted val="0"/>
    <c:plotArea>
      <c:layout/>
      <c:barChart>
        <c:barDir val="col"/>
        <c:grouping val="stacked"/>
        <c:varyColors val="0"/>
        <c:ser>
          <c:idx val="0"/>
          <c:order val="0"/>
          <c:invertIfNegative val="0"/>
          <c:dLbls>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MDM-5000'!$T$103:$V$103</c:f>
              <c:numCache>
                <c:formatCode>General</c:formatCode>
                <c:ptCount val="3"/>
                <c:pt idx="0">
                  <c:v>89.375</c:v>
                </c:pt>
                <c:pt idx="1">
                  <c:v>89.375</c:v>
                </c:pt>
                <c:pt idx="2">
                  <c:v>89.375</c:v>
                </c:pt>
              </c:numCache>
            </c:numRef>
          </c:val>
          <c:extLst>
            <c:ext xmlns:c16="http://schemas.microsoft.com/office/drawing/2014/chart" uri="{C3380CC4-5D6E-409C-BE32-E72D297353CC}">
              <c16:uniqueId val="{00000000-AF47-3744-A334-6B0A9092D088}"/>
            </c:ext>
          </c:extLst>
        </c:ser>
        <c:ser>
          <c:idx val="1"/>
          <c:order val="1"/>
          <c:invertIfNegative val="0"/>
          <c:val>
            <c:numRef>
              <c:f>'EU MDM-5000'!$T$104:$V$104</c:f>
              <c:numCache>
                <c:formatCode>General</c:formatCode>
                <c:ptCount val="3"/>
                <c:pt idx="0">
                  <c:v>#N/A</c:v>
                </c:pt>
                <c:pt idx="1">
                  <c:v>#N/A</c:v>
                </c:pt>
                <c:pt idx="2">
                  <c:v>#N/A</c:v>
                </c:pt>
              </c:numCache>
            </c:numRef>
          </c:val>
          <c:extLst>
            <c:ext xmlns:c16="http://schemas.microsoft.com/office/drawing/2014/chart" uri="{C3380CC4-5D6E-409C-BE32-E72D297353CC}">
              <c16:uniqueId val="{00000001-AF47-3744-A334-6B0A9092D088}"/>
            </c:ext>
          </c:extLst>
        </c:ser>
        <c:dLbls>
          <c:showLegendKey val="0"/>
          <c:showVal val="0"/>
          <c:showCatName val="0"/>
          <c:showSerName val="0"/>
          <c:showPercent val="0"/>
          <c:showBubbleSize val="0"/>
        </c:dLbls>
        <c:gapWidth val="15"/>
        <c:overlap val="100"/>
        <c:axId val="-13894048"/>
        <c:axId val="-13891728"/>
      </c:barChart>
      <c:catAx>
        <c:axId val="-13894048"/>
        <c:scaling>
          <c:orientation val="minMax"/>
        </c:scaling>
        <c:delete val="0"/>
        <c:axPos val="b"/>
        <c:majorTickMark val="out"/>
        <c:minorTickMark val="none"/>
        <c:tickLblPos val="nextTo"/>
        <c:spPr>
          <a:ln>
            <a:solidFill>
              <a:schemeClr val="bg1"/>
            </a:solidFill>
          </a:ln>
        </c:spPr>
        <c:txPr>
          <a:bodyPr/>
          <a:lstStyle/>
          <a:p>
            <a:pPr>
              <a:defRPr>
                <a:solidFill>
                  <a:schemeClr val="bg1"/>
                </a:solidFill>
              </a:defRPr>
            </a:pPr>
            <a:endParaRPr lang="en-CH"/>
          </a:p>
        </c:txPr>
        <c:crossAx val="-13891728"/>
        <c:crosses val="autoZero"/>
        <c:auto val="1"/>
        <c:lblAlgn val="ctr"/>
        <c:lblOffset val="100"/>
        <c:noMultiLvlLbl val="0"/>
      </c:catAx>
      <c:valAx>
        <c:axId val="-13891728"/>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noFill/>
          <a:ln>
            <a:solidFill>
              <a:schemeClr val="bg1"/>
            </a:solidFill>
          </a:ln>
        </c:spPr>
        <c:txPr>
          <a:bodyPr/>
          <a:lstStyle/>
          <a:p>
            <a:pPr>
              <a:defRPr>
                <a:solidFill>
                  <a:schemeClr val="bg1"/>
                </a:solidFill>
              </a:defRPr>
            </a:pPr>
            <a:endParaRPr lang="en-CH"/>
          </a:p>
        </c:txPr>
        <c:crossAx val="-13894048"/>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chemeClr val="bg1"/>
                </a:solidFill>
              </a:defRPr>
            </a:pPr>
            <a:r>
              <a:rPr lang="en-US" sz="1200">
                <a:solidFill>
                  <a:schemeClr val="bg1"/>
                </a:solidFill>
              </a:rPr>
              <a:t>Branch Balance</a:t>
            </a:r>
            <a:r>
              <a:rPr lang="en-US" sz="1200" baseline="0">
                <a:solidFill>
                  <a:schemeClr val="bg1"/>
                </a:solidFill>
              </a:rPr>
              <a:t> MLTC %</a:t>
            </a:r>
          </a:p>
        </c:rich>
      </c:tx>
      <c:overlay val="0"/>
    </c:title>
    <c:autoTitleDeleted val="0"/>
    <c:plotArea>
      <c:layout/>
      <c:barChart>
        <c:barDir val="col"/>
        <c:grouping val="stacked"/>
        <c:varyColors val="0"/>
        <c:ser>
          <c:idx val="0"/>
          <c:order val="0"/>
          <c:invertIfNegative val="0"/>
          <c:dLbls>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MDM-5000'!$Y$103:$AD$103</c:f>
              <c:numCache>
                <c:formatCode>General</c:formatCode>
                <c:ptCount val="6"/>
                <c:pt idx="0">
                  <c:v>75</c:v>
                </c:pt>
                <c:pt idx="1">
                  <c:v>75</c:v>
                </c:pt>
                <c:pt idx="2">
                  <c:v>75</c:v>
                </c:pt>
                <c:pt idx="3">
                  <c:v>62.5</c:v>
                </c:pt>
                <c:pt idx="4">
                  <c:v>62.5</c:v>
                </c:pt>
                <c:pt idx="5">
                  <c:v>62.5</c:v>
                </c:pt>
              </c:numCache>
            </c:numRef>
          </c:val>
          <c:extLst>
            <c:ext xmlns:c16="http://schemas.microsoft.com/office/drawing/2014/chart" uri="{C3380CC4-5D6E-409C-BE32-E72D297353CC}">
              <c16:uniqueId val="{00000000-AEB0-4747-B0B9-9694B382C10C}"/>
            </c:ext>
          </c:extLst>
        </c:ser>
        <c:ser>
          <c:idx val="1"/>
          <c:order val="1"/>
          <c:invertIfNegative val="0"/>
          <c:val>
            <c:numRef>
              <c:f>'EU MDM-5000'!$Y$104:$AD$104</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1-AEB0-4747-B0B9-9694B382C10C}"/>
            </c:ext>
          </c:extLst>
        </c:ser>
        <c:dLbls>
          <c:showLegendKey val="0"/>
          <c:showVal val="0"/>
          <c:showCatName val="0"/>
          <c:showSerName val="0"/>
          <c:showPercent val="0"/>
          <c:showBubbleSize val="0"/>
        </c:dLbls>
        <c:gapWidth val="15"/>
        <c:overlap val="100"/>
        <c:axId val="-24546192"/>
        <c:axId val="-24564768"/>
      </c:barChart>
      <c:catAx>
        <c:axId val="-24546192"/>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24564768"/>
        <c:crosses val="autoZero"/>
        <c:auto val="1"/>
        <c:lblAlgn val="ctr"/>
        <c:lblOffset val="100"/>
        <c:noMultiLvlLbl val="0"/>
      </c:catAx>
      <c:valAx>
        <c:axId val="-24564768"/>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24546192"/>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rgbClr val="FFFFFF"/>
                </a:solidFill>
              </a:defRPr>
            </a:pPr>
            <a:r>
              <a:rPr lang="en-US" sz="1200">
                <a:solidFill>
                  <a:srgbClr val="FFFFFF"/>
                </a:solidFill>
              </a:rPr>
              <a:t>Cable</a:t>
            </a:r>
            <a:r>
              <a:rPr lang="en-US" sz="1200" baseline="0">
                <a:solidFill>
                  <a:srgbClr val="FFFFFF"/>
                </a:solidFill>
              </a:rPr>
              <a:t> loss %</a:t>
            </a:r>
          </a:p>
        </c:rich>
      </c:tx>
      <c:overlay val="0"/>
    </c:title>
    <c:autoTitleDeleted val="0"/>
    <c:plotArea>
      <c:layout/>
      <c:barChart>
        <c:barDir val="col"/>
        <c:grouping val="stacked"/>
        <c:varyColors val="0"/>
        <c:ser>
          <c:idx val="0"/>
          <c:order val="0"/>
          <c:invertIfNegative val="0"/>
          <c:val>
            <c:numRef>
              <c:f>'EU MDM-5000'!$Y$107:$AD$107</c:f>
              <c:numCache>
                <c:formatCode>General</c:formatCode>
                <c:ptCount val="6"/>
                <c:pt idx="0">
                  <c:v>-6.3219035490848761</c:v>
                </c:pt>
                <c:pt idx="1">
                  <c:v>-6.3219035490848761</c:v>
                </c:pt>
                <c:pt idx="2">
                  <c:v>-6.3219035490848761</c:v>
                </c:pt>
                <c:pt idx="3">
                  <c:v>-4.6159930675857819</c:v>
                </c:pt>
                <c:pt idx="4">
                  <c:v>-4.6159930675857819</c:v>
                </c:pt>
                <c:pt idx="5">
                  <c:v>-4.6159930675857819</c:v>
                </c:pt>
              </c:numCache>
            </c:numRef>
          </c:val>
          <c:extLst>
            <c:ext xmlns:c16="http://schemas.microsoft.com/office/drawing/2014/chart" uri="{C3380CC4-5D6E-409C-BE32-E72D297353CC}">
              <c16:uniqueId val="{00000000-064E-384E-8ED5-52F12AC8EB35}"/>
            </c:ext>
          </c:extLst>
        </c:ser>
        <c:ser>
          <c:idx val="1"/>
          <c:order val="1"/>
          <c:invertIfNegative val="0"/>
          <c:val>
            <c:numRef>
              <c:f>'EU MDM-5000'!$Y$108:$AD$108</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1-064E-384E-8ED5-52F12AC8EB35}"/>
            </c:ext>
          </c:extLst>
        </c:ser>
        <c:dLbls>
          <c:showLegendKey val="0"/>
          <c:showVal val="0"/>
          <c:showCatName val="0"/>
          <c:showSerName val="0"/>
          <c:showPercent val="0"/>
          <c:showBubbleSize val="0"/>
        </c:dLbls>
        <c:gapWidth val="0"/>
        <c:overlap val="100"/>
        <c:axId val="-14678000"/>
        <c:axId val="-14675680"/>
      </c:barChart>
      <c:catAx>
        <c:axId val="-14678000"/>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14675680"/>
        <c:crosses val="autoZero"/>
        <c:auto val="1"/>
        <c:lblAlgn val="ctr"/>
        <c:lblOffset val="100"/>
        <c:noMultiLvlLbl val="0"/>
      </c:catAx>
      <c:valAx>
        <c:axId val="-14675680"/>
        <c:scaling>
          <c:orientation val="minMax"/>
          <c:max val="0"/>
          <c:min val="-2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14678000"/>
        <c:crosses val="autoZero"/>
        <c:crossBetween val="between"/>
      </c:valAx>
      <c:spPr>
        <a:solidFill>
          <a:schemeClr val="tx1">
            <a:lumMod val="75000"/>
            <a:lumOff val="25000"/>
            <a:alpha val="0"/>
          </a:schemeClr>
        </a:solidFill>
        <a:ln>
          <a:noFill/>
        </a:ln>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chemeClr val="bg1"/>
                </a:solidFill>
              </a:defRPr>
            </a:pPr>
            <a:r>
              <a:rPr lang="en-US" sz="1200">
                <a:solidFill>
                  <a:schemeClr val="bg1"/>
                </a:solidFill>
              </a:rPr>
              <a:t>Input</a:t>
            </a:r>
            <a:r>
              <a:rPr lang="en-US" sz="1200" baseline="0">
                <a:solidFill>
                  <a:schemeClr val="bg1"/>
                </a:solidFill>
              </a:rPr>
              <a:t> Balance MLTC %</a:t>
            </a:r>
          </a:p>
        </c:rich>
      </c:tx>
      <c:overlay val="0"/>
    </c:title>
    <c:autoTitleDeleted val="0"/>
    <c:plotArea>
      <c:layout/>
      <c:barChart>
        <c:barDir val="col"/>
        <c:grouping val="stacked"/>
        <c:varyColors val="0"/>
        <c:ser>
          <c:idx val="0"/>
          <c:order val="0"/>
          <c:invertIfNegative val="0"/>
          <c:dLbls>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MDM-5000'!$T$140:$V$140</c:f>
              <c:numCache>
                <c:formatCode>General</c:formatCode>
                <c:ptCount val="3"/>
                <c:pt idx="0">
                  <c:v>89.375</c:v>
                </c:pt>
                <c:pt idx="1">
                  <c:v>89.375</c:v>
                </c:pt>
                <c:pt idx="2">
                  <c:v>89.375</c:v>
                </c:pt>
              </c:numCache>
            </c:numRef>
          </c:val>
          <c:extLst>
            <c:ext xmlns:c16="http://schemas.microsoft.com/office/drawing/2014/chart" uri="{C3380CC4-5D6E-409C-BE32-E72D297353CC}">
              <c16:uniqueId val="{00000000-2635-6D40-9D3B-2B861D1F7698}"/>
            </c:ext>
          </c:extLst>
        </c:ser>
        <c:ser>
          <c:idx val="1"/>
          <c:order val="1"/>
          <c:invertIfNegative val="0"/>
          <c:val>
            <c:numRef>
              <c:f>'EU MDM-5000'!$T$141:$V$141</c:f>
              <c:numCache>
                <c:formatCode>General</c:formatCode>
                <c:ptCount val="3"/>
                <c:pt idx="0">
                  <c:v>#N/A</c:v>
                </c:pt>
                <c:pt idx="1">
                  <c:v>#N/A</c:v>
                </c:pt>
                <c:pt idx="2">
                  <c:v>#N/A</c:v>
                </c:pt>
              </c:numCache>
            </c:numRef>
          </c:val>
          <c:extLst>
            <c:ext xmlns:c16="http://schemas.microsoft.com/office/drawing/2014/chart" uri="{C3380CC4-5D6E-409C-BE32-E72D297353CC}">
              <c16:uniqueId val="{00000001-2635-6D40-9D3B-2B861D1F7698}"/>
            </c:ext>
          </c:extLst>
        </c:ser>
        <c:dLbls>
          <c:showLegendKey val="0"/>
          <c:showVal val="0"/>
          <c:showCatName val="0"/>
          <c:showSerName val="0"/>
          <c:showPercent val="0"/>
          <c:showBubbleSize val="0"/>
        </c:dLbls>
        <c:gapWidth val="15"/>
        <c:overlap val="100"/>
        <c:axId val="626619824"/>
        <c:axId val="626888176"/>
      </c:barChart>
      <c:catAx>
        <c:axId val="626619824"/>
        <c:scaling>
          <c:orientation val="minMax"/>
        </c:scaling>
        <c:delete val="0"/>
        <c:axPos val="b"/>
        <c:majorTickMark val="out"/>
        <c:minorTickMark val="none"/>
        <c:tickLblPos val="nextTo"/>
        <c:spPr>
          <a:ln>
            <a:solidFill>
              <a:schemeClr val="bg1"/>
            </a:solidFill>
          </a:ln>
        </c:spPr>
        <c:txPr>
          <a:bodyPr/>
          <a:lstStyle/>
          <a:p>
            <a:pPr>
              <a:defRPr>
                <a:solidFill>
                  <a:schemeClr val="bg1"/>
                </a:solidFill>
              </a:defRPr>
            </a:pPr>
            <a:endParaRPr lang="en-CH"/>
          </a:p>
        </c:txPr>
        <c:crossAx val="626888176"/>
        <c:crosses val="autoZero"/>
        <c:auto val="1"/>
        <c:lblAlgn val="ctr"/>
        <c:lblOffset val="100"/>
        <c:noMultiLvlLbl val="0"/>
      </c:catAx>
      <c:valAx>
        <c:axId val="626888176"/>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noFill/>
          <a:ln>
            <a:solidFill>
              <a:schemeClr val="bg1"/>
            </a:solidFill>
          </a:ln>
        </c:spPr>
        <c:txPr>
          <a:bodyPr/>
          <a:lstStyle/>
          <a:p>
            <a:pPr>
              <a:defRPr>
                <a:solidFill>
                  <a:schemeClr val="bg1"/>
                </a:solidFill>
              </a:defRPr>
            </a:pPr>
            <a:endParaRPr lang="en-CH"/>
          </a:p>
        </c:txPr>
        <c:crossAx val="626619824"/>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chemeClr val="bg1"/>
                </a:solidFill>
              </a:defRPr>
            </a:pPr>
            <a:r>
              <a:rPr lang="en-US" sz="1200">
                <a:solidFill>
                  <a:schemeClr val="bg1"/>
                </a:solidFill>
              </a:rPr>
              <a:t>Branch Balance</a:t>
            </a:r>
            <a:r>
              <a:rPr lang="en-US" sz="1200" baseline="0">
                <a:solidFill>
                  <a:schemeClr val="bg1"/>
                </a:solidFill>
              </a:rPr>
              <a:t> MLTC %</a:t>
            </a:r>
          </a:p>
        </c:rich>
      </c:tx>
      <c:overlay val="0"/>
    </c:title>
    <c:autoTitleDeleted val="0"/>
    <c:plotArea>
      <c:layout/>
      <c:barChart>
        <c:barDir val="col"/>
        <c:grouping val="stacked"/>
        <c:varyColors val="0"/>
        <c:ser>
          <c:idx val="0"/>
          <c:order val="0"/>
          <c:invertIfNegative val="0"/>
          <c:dLbls>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MDM-5000'!$Y$140:$AD$140</c:f>
              <c:numCache>
                <c:formatCode>General</c:formatCode>
                <c:ptCount val="6"/>
                <c:pt idx="0">
                  <c:v>75</c:v>
                </c:pt>
                <c:pt idx="1">
                  <c:v>75</c:v>
                </c:pt>
                <c:pt idx="2">
                  <c:v>75</c:v>
                </c:pt>
                <c:pt idx="3">
                  <c:v>62.5</c:v>
                </c:pt>
                <c:pt idx="4">
                  <c:v>62.5</c:v>
                </c:pt>
                <c:pt idx="5">
                  <c:v>62.5</c:v>
                </c:pt>
              </c:numCache>
            </c:numRef>
          </c:val>
          <c:extLst>
            <c:ext xmlns:c16="http://schemas.microsoft.com/office/drawing/2014/chart" uri="{C3380CC4-5D6E-409C-BE32-E72D297353CC}">
              <c16:uniqueId val="{00000000-64D8-2B4F-8B23-6FF642D61E7C}"/>
            </c:ext>
          </c:extLst>
        </c:ser>
        <c:ser>
          <c:idx val="1"/>
          <c:order val="1"/>
          <c:invertIfNegative val="0"/>
          <c:val>
            <c:numRef>
              <c:f>'EU MDM-5000'!$Y$141:$AD$141</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1-64D8-2B4F-8B23-6FF642D61E7C}"/>
            </c:ext>
          </c:extLst>
        </c:ser>
        <c:dLbls>
          <c:showLegendKey val="0"/>
          <c:showVal val="0"/>
          <c:showCatName val="0"/>
          <c:showSerName val="0"/>
          <c:showPercent val="0"/>
          <c:showBubbleSize val="0"/>
        </c:dLbls>
        <c:gapWidth val="15"/>
        <c:overlap val="100"/>
        <c:axId val="640481488"/>
        <c:axId val="499383344"/>
      </c:barChart>
      <c:catAx>
        <c:axId val="640481488"/>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499383344"/>
        <c:crosses val="autoZero"/>
        <c:auto val="1"/>
        <c:lblAlgn val="ctr"/>
        <c:lblOffset val="100"/>
        <c:noMultiLvlLbl val="0"/>
      </c:catAx>
      <c:valAx>
        <c:axId val="499383344"/>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640481488"/>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rgbClr val="FFFFFF"/>
                </a:solidFill>
              </a:defRPr>
            </a:pPr>
            <a:r>
              <a:rPr lang="en-US" sz="1200">
                <a:solidFill>
                  <a:srgbClr val="FFFFFF"/>
                </a:solidFill>
              </a:rPr>
              <a:t>Cable</a:t>
            </a:r>
            <a:r>
              <a:rPr lang="en-US" sz="1200" baseline="0">
                <a:solidFill>
                  <a:srgbClr val="FFFFFF"/>
                </a:solidFill>
              </a:rPr>
              <a:t> loss %</a:t>
            </a:r>
          </a:p>
        </c:rich>
      </c:tx>
      <c:overlay val="0"/>
    </c:title>
    <c:autoTitleDeleted val="0"/>
    <c:plotArea>
      <c:layout/>
      <c:barChart>
        <c:barDir val="col"/>
        <c:grouping val="stacked"/>
        <c:varyColors val="0"/>
        <c:ser>
          <c:idx val="0"/>
          <c:order val="0"/>
          <c:invertIfNegative val="0"/>
          <c:val>
            <c:numRef>
              <c:f>'EU MDM-5000'!$Y$144:$AD$144</c:f>
              <c:numCache>
                <c:formatCode>General</c:formatCode>
                <c:ptCount val="6"/>
                <c:pt idx="0">
                  <c:v>-6.3219035490848761</c:v>
                </c:pt>
                <c:pt idx="1">
                  <c:v>-6.3219035490848761</c:v>
                </c:pt>
                <c:pt idx="2">
                  <c:v>-6.3219035490848761</c:v>
                </c:pt>
                <c:pt idx="3">
                  <c:v>-4.6159930675857819</c:v>
                </c:pt>
                <c:pt idx="4">
                  <c:v>-4.6159930675857819</c:v>
                </c:pt>
                <c:pt idx="5">
                  <c:v>-4.6159930675857819</c:v>
                </c:pt>
              </c:numCache>
            </c:numRef>
          </c:val>
          <c:extLst>
            <c:ext xmlns:c16="http://schemas.microsoft.com/office/drawing/2014/chart" uri="{C3380CC4-5D6E-409C-BE32-E72D297353CC}">
              <c16:uniqueId val="{00000000-4C38-2041-BBFF-C9DDAD540077}"/>
            </c:ext>
          </c:extLst>
        </c:ser>
        <c:ser>
          <c:idx val="1"/>
          <c:order val="1"/>
          <c:invertIfNegative val="0"/>
          <c:val>
            <c:numRef>
              <c:f>'EU MDM-5000'!$Y$145:$AD$145</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1-4C38-2041-BBFF-C9DDAD540077}"/>
            </c:ext>
          </c:extLst>
        </c:ser>
        <c:dLbls>
          <c:showLegendKey val="0"/>
          <c:showVal val="0"/>
          <c:showCatName val="0"/>
          <c:showSerName val="0"/>
          <c:showPercent val="0"/>
          <c:showBubbleSize val="0"/>
        </c:dLbls>
        <c:gapWidth val="0"/>
        <c:overlap val="100"/>
        <c:axId val="-24580816"/>
        <c:axId val="11241760"/>
      </c:barChart>
      <c:catAx>
        <c:axId val="-24580816"/>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11241760"/>
        <c:crosses val="autoZero"/>
        <c:auto val="1"/>
        <c:lblAlgn val="ctr"/>
        <c:lblOffset val="100"/>
        <c:noMultiLvlLbl val="0"/>
      </c:catAx>
      <c:valAx>
        <c:axId val="11241760"/>
        <c:scaling>
          <c:orientation val="minMax"/>
          <c:max val="0"/>
          <c:min val="-2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24580816"/>
        <c:crosses val="autoZero"/>
        <c:crossBetween val="between"/>
      </c:valAx>
      <c:spPr>
        <a:solidFill>
          <a:schemeClr val="tx1">
            <a:lumMod val="75000"/>
            <a:lumOff val="25000"/>
            <a:alpha val="0"/>
          </a:schemeClr>
        </a:solidFill>
        <a:ln>
          <a:noFill/>
        </a:ln>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chemeClr val="bg1"/>
                </a:solidFill>
              </a:defRPr>
            </a:pPr>
            <a:r>
              <a:rPr lang="en-US" sz="1200">
                <a:solidFill>
                  <a:schemeClr val="bg1"/>
                </a:solidFill>
              </a:rPr>
              <a:t>Input</a:t>
            </a:r>
            <a:r>
              <a:rPr lang="en-US" sz="1200" baseline="0">
                <a:solidFill>
                  <a:schemeClr val="bg1"/>
                </a:solidFill>
              </a:rPr>
              <a:t> Balance MLTC %</a:t>
            </a:r>
          </a:p>
        </c:rich>
      </c:tx>
      <c:overlay val="0"/>
    </c:title>
    <c:autoTitleDeleted val="0"/>
    <c:plotArea>
      <c:layout/>
      <c:barChart>
        <c:barDir val="col"/>
        <c:grouping val="stacked"/>
        <c:varyColors val="0"/>
        <c:ser>
          <c:idx val="0"/>
          <c:order val="0"/>
          <c:invertIfNegative val="0"/>
          <c:dLbls>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MDM-5000'!$T$177:$V$177</c:f>
              <c:numCache>
                <c:formatCode>General</c:formatCode>
                <c:ptCount val="3"/>
                <c:pt idx="0">
                  <c:v>89.375</c:v>
                </c:pt>
                <c:pt idx="1">
                  <c:v>89.375</c:v>
                </c:pt>
                <c:pt idx="2">
                  <c:v>89.375</c:v>
                </c:pt>
              </c:numCache>
            </c:numRef>
          </c:val>
          <c:extLst>
            <c:ext xmlns:c16="http://schemas.microsoft.com/office/drawing/2014/chart" uri="{C3380CC4-5D6E-409C-BE32-E72D297353CC}">
              <c16:uniqueId val="{00000000-B0E2-7448-B666-26ACA2AC0052}"/>
            </c:ext>
          </c:extLst>
        </c:ser>
        <c:ser>
          <c:idx val="1"/>
          <c:order val="1"/>
          <c:invertIfNegative val="0"/>
          <c:val>
            <c:numRef>
              <c:f>'EU MDM-5000'!$T$178:$V$178</c:f>
              <c:numCache>
                <c:formatCode>General</c:formatCode>
                <c:ptCount val="3"/>
                <c:pt idx="0">
                  <c:v>#N/A</c:v>
                </c:pt>
                <c:pt idx="1">
                  <c:v>#N/A</c:v>
                </c:pt>
                <c:pt idx="2">
                  <c:v>#N/A</c:v>
                </c:pt>
              </c:numCache>
            </c:numRef>
          </c:val>
          <c:extLst>
            <c:ext xmlns:c16="http://schemas.microsoft.com/office/drawing/2014/chart" uri="{C3380CC4-5D6E-409C-BE32-E72D297353CC}">
              <c16:uniqueId val="{00000001-B0E2-7448-B666-26ACA2AC0052}"/>
            </c:ext>
          </c:extLst>
        </c:ser>
        <c:dLbls>
          <c:showLegendKey val="0"/>
          <c:showVal val="0"/>
          <c:showCatName val="0"/>
          <c:showSerName val="0"/>
          <c:showPercent val="0"/>
          <c:showBubbleSize val="0"/>
        </c:dLbls>
        <c:gapWidth val="15"/>
        <c:overlap val="100"/>
        <c:axId val="-11919152"/>
        <c:axId val="-24845216"/>
      </c:barChart>
      <c:catAx>
        <c:axId val="-11919152"/>
        <c:scaling>
          <c:orientation val="minMax"/>
        </c:scaling>
        <c:delete val="0"/>
        <c:axPos val="b"/>
        <c:majorTickMark val="out"/>
        <c:minorTickMark val="none"/>
        <c:tickLblPos val="nextTo"/>
        <c:spPr>
          <a:ln>
            <a:solidFill>
              <a:schemeClr val="bg1"/>
            </a:solidFill>
          </a:ln>
        </c:spPr>
        <c:txPr>
          <a:bodyPr/>
          <a:lstStyle/>
          <a:p>
            <a:pPr>
              <a:defRPr>
                <a:solidFill>
                  <a:schemeClr val="bg1"/>
                </a:solidFill>
              </a:defRPr>
            </a:pPr>
            <a:endParaRPr lang="en-CH"/>
          </a:p>
        </c:txPr>
        <c:crossAx val="-24845216"/>
        <c:crosses val="autoZero"/>
        <c:auto val="1"/>
        <c:lblAlgn val="ctr"/>
        <c:lblOffset val="100"/>
        <c:noMultiLvlLbl val="0"/>
      </c:catAx>
      <c:valAx>
        <c:axId val="-24845216"/>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noFill/>
          <a:ln>
            <a:solidFill>
              <a:schemeClr val="bg1"/>
            </a:solidFill>
          </a:ln>
        </c:spPr>
        <c:txPr>
          <a:bodyPr/>
          <a:lstStyle/>
          <a:p>
            <a:pPr>
              <a:defRPr>
                <a:solidFill>
                  <a:schemeClr val="bg1"/>
                </a:solidFill>
              </a:defRPr>
            </a:pPr>
            <a:endParaRPr lang="en-CH"/>
          </a:p>
        </c:txPr>
        <c:crossAx val="-11919152"/>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chemeClr val="bg1"/>
                </a:solidFill>
              </a:defRPr>
            </a:pPr>
            <a:r>
              <a:rPr lang="en-US" sz="1200">
                <a:solidFill>
                  <a:schemeClr val="bg1"/>
                </a:solidFill>
              </a:rPr>
              <a:t>Branch Balance</a:t>
            </a:r>
            <a:r>
              <a:rPr lang="en-US" sz="1200" baseline="0">
                <a:solidFill>
                  <a:schemeClr val="bg1"/>
                </a:solidFill>
              </a:rPr>
              <a:t> MLTC %</a:t>
            </a:r>
          </a:p>
        </c:rich>
      </c:tx>
      <c:overlay val="0"/>
    </c:title>
    <c:autoTitleDeleted val="0"/>
    <c:plotArea>
      <c:layout/>
      <c:barChart>
        <c:barDir val="col"/>
        <c:grouping val="stacked"/>
        <c:varyColors val="0"/>
        <c:ser>
          <c:idx val="0"/>
          <c:order val="0"/>
          <c:invertIfNegative val="0"/>
          <c:dLbls>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MDM-5000'!$Y$177:$AD$177</c:f>
              <c:numCache>
                <c:formatCode>General</c:formatCode>
                <c:ptCount val="6"/>
                <c:pt idx="0">
                  <c:v>75</c:v>
                </c:pt>
                <c:pt idx="1">
                  <c:v>75</c:v>
                </c:pt>
                <c:pt idx="2">
                  <c:v>75</c:v>
                </c:pt>
                <c:pt idx="3">
                  <c:v>62.5</c:v>
                </c:pt>
                <c:pt idx="4">
                  <c:v>62.5</c:v>
                </c:pt>
                <c:pt idx="5">
                  <c:v>62.5</c:v>
                </c:pt>
              </c:numCache>
            </c:numRef>
          </c:val>
          <c:extLst>
            <c:ext xmlns:c16="http://schemas.microsoft.com/office/drawing/2014/chart" uri="{C3380CC4-5D6E-409C-BE32-E72D297353CC}">
              <c16:uniqueId val="{00000000-91E6-874C-85FA-020707320CB6}"/>
            </c:ext>
          </c:extLst>
        </c:ser>
        <c:ser>
          <c:idx val="1"/>
          <c:order val="1"/>
          <c:invertIfNegative val="0"/>
          <c:val>
            <c:numRef>
              <c:f>'EU MDM-5000'!$Y$178:$AD$178</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1-91E6-874C-85FA-020707320CB6}"/>
            </c:ext>
          </c:extLst>
        </c:ser>
        <c:dLbls>
          <c:showLegendKey val="0"/>
          <c:showVal val="0"/>
          <c:showCatName val="0"/>
          <c:showSerName val="0"/>
          <c:showPercent val="0"/>
          <c:showBubbleSize val="0"/>
        </c:dLbls>
        <c:gapWidth val="15"/>
        <c:overlap val="100"/>
        <c:axId val="8590720"/>
        <c:axId val="8591664"/>
      </c:barChart>
      <c:catAx>
        <c:axId val="8590720"/>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8591664"/>
        <c:crosses val="autoZero"/>
        <c:auto val="1"/>
        <c:lblAlgn val="ctr"/>
        <c:lblOffset val="100"/>
        <c:noMultiLvlLbl val="0"/>
      </c:catAx>
      <c:valAx>
        <c:axId val="8591664"/>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8590720"/>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rgbClr val="FFFFFF"/>
                </a:solidFill>
              </a:defRPr>
            </a:pPr>
            <a:r>
              <a:rPr lang="en-US" sz="1200">
                <a:solidFill>
                  <a:srgbClr val="FFFFFF"/>
                </a:solidFill>
              </a:rPr>
              <a:t>Cable</a:t>
            </a:r>
            <a:r>
              <a:rPr lang="en-US" sz="1200" baseline="0">
                <a:solidFill>
                  <a:srgbClr val="FFFFFF"/>
                </a:solidFill>
              </a:rPr>
              <a:t> loss %</a:t>
            </a:r>
          </a:p>
        </c:rich>
      </c:tx>
      <c:overlay val="0"/>
    </c:title>
    <c:autoTitleDeleted val="0"/>
    <c:plotArea>
      <c:layout/>
      <c:barChart>
        <c:barDir val="col"/>
        <c:grouping val="stacked"/>
        <c:varyColors val="0"/>
        <c:ser>
          <c:idx val="0"/>
          <c:order val="0"/>
          <c:invertIfNegative val="0"/>
          <c:val>
            <c:numRef>
              <c:f>'EU MDM-5000'!$Y$181:$AD$181</c:f>
              <c:numCache>
                <c:formatCode>General</c:formatCode>
                <c:ptCount val="6"/>
                <c:pt idx="0">
                  <c:v>-6.3219035490848761</c:v>
                </c:pt>
                <c:pt idx="1">
                  <c:v>-6.3219035490848761</c:v>
                </c:pt>
                <c:pt idx="2">
                  <c:v>-6.3219035490848761</c:v>
                </c:pt>
                <c:pt idx="3">
                  <c:v>-4.6159930675857819</c:v>
                </c:pt>
                <c:pt idx="4">
                  <c:v>-4.6159930675857819</c:v>
                </c:pt>
                <c:pt idx="5">
                  <c:v>-4.6159930675857819</c:v>
                </c:pt>
              </c:numCache>
            </c:numRef>
          </c:val>
          <c:extLst>
            <c:ext xmlns:c16="http://schemas.microsoft.com/office/drawing/2014/chart" uri="{C3380CC4-5D6E-409C-BE32-E72D297353CC}">
              <c16:uniqueId val="{00000000-A985-114F-BB68-B0FDA985BCFD}"/>
            </c:ext>
          </c:extLst>
        </c:ser>
        <c:ser>
          <c:idx val="1"/>
          <c:order val="1"/>
          <c:invertIfNegative val="0"/>
          <c:val>
            <c:numRef>
              <c:f>'EU MDM-5000'!$Y$182:$AD$182</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1-A985-114F-BB68-B0FDA985BCFD}"/>
            </c:ext>
          </c:extLst>
        </c:ser>
        <c:dLbls>
          <c:showLegendKey val="0"/>
          <c:showVal val="0"/>
          <c:showCatName val="0"/>
          <c:showSerName val="0"/>
          <c:showPercent val="0"/>
          <c:showBubbleSize val="0"/>
        </c:dLbls>
        <c:gapWidth val="0"/>
        <c:overlap val="100"/>
        <c:axId val="-24635200"/>
        <c:axId val="-24633152"/>
      </c:barChart>
      <c:catAx>
        <c:axId val="-24635200"/>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24633152"/>
        <c:crosses val="autoZero"/>
        <c:auto val="1"/>
        <c:lblAlgn val="ctr"/>
        <c:lblOffset val="100"/>
        <c:noMultiLvlLbl val="0"/>
      </c:catAx>
      <c:valAx>
        <c:axId val="-24633152"/>
        <c:scaling>
          <c:orientation val="minMax"/>
          <c:max val="0"/>
          <c:min val="-2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24635200"/>
        <c:crosses val="autoZero"/>
        <c:crossBetween val="between"/>
      </c:valAx>
      <c:spPr>
        <a:solidFill>
          <a:schemeClr val="tx1">
            <a:lumMod val="75000"/>
            <a:lumOff val="25000"/>
            <a:alpha val="0"/>
          </a:schemeClr>
        </a:solidFill>
        <a:ln>
          <a:noFill/>
        </a:ln>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chemeClr val="bg1"/>
                </a:solidFill>
              </a:defRPr>
            </a:pPr>
            <a:r>
              <a:rPr lang="en-US" sz="1200">
                <a:solidFill>
                  <a:schemeClr val="bg1"/>
                </a:solidFill>
              </a:rPr>
              <a:t>Input</a:t>
            </a:r>
            <a:r>
              <a:rPr lang="en-US" sz="1200" baseline="0">
                <a:solidFill>
                  <a:schemeClr val="bg1"/>
                </a:solidFill>
              </a:rPr>
              <a:t> Balance MLTC %</a:t>
            </a:r>
          </a:p>
        </c:rich>
      </c:tx>
      <c:overlay val="0"/>
    </c:title>
    <c:autoTitleDeleted val="0"/>
    <c:plotArea>
      <c:layout/>
      <c:barChart>
        <c:barDir val="col"/>
        <c:grouping val="stacked"/>
        <c:varyColors val="0"/>
        <c:ser>
          <c:idx val="0"/>
          <c:order val="0"/>
          <c:invertIfNegative val="0"/>
          <c:dLbls>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MDM-5000'!$T$214:$V$214</c:f>
              <c:numCache>
                <c:formatCode>General</c:formatCode>
                <c:ptCount val="3"/>
                <c:pt idx="0">
                  <c:v>89.375</c:v>
                </c:pt>
                <c:pt idx="1">
                  <c:v>89.375</c:v>
                </c:pt>
                <c:pt idx="2">
                  <c:v>89.375</c:v>
                </c:pt>
              </c:numCache>
            </c:numRef>
          </c:val>
          <c:extLst>
            <c:ext xmlns:c16="http://schemas.microsoft.com/office/drawing/2014/chart" uri="{C3380CC4-5D6E-409C-BE32-E72D297353CC}">
              <c16:uniqueId val="{00000000-66CD-EE41-A948-2C244AD95BAD}"/>
            </c:ext>
          </c:extLst>
        </c:ser>
        <c:ser>
          <c:idx val="1"/>
          <c:order val="1"/>
          <c:invertIfNegative val="0"/>
          <c:val>
            <c:numRef>
              <c:f>'EU MDM-5000'!$T$215:$V$215</c:f>
              <c:numCache>
                <c:formatCode>General</c:formatCode>
                <c:ptCount val="3"/>
                <c:pt idx="0">
                  <c:v>#N/A</c:v>
                </c:pt>
                <c:pt idx="1">
                  <c:v>#N/A</c:v>
                </c:pt>
                <c:pt idx="2">
                  <c:v>#N/A</c:v>
                </c:pt>
              </c:numCache>
            </c:numRef>
          </c:val>
          <c:extLst>
            <c:ext xmlns:c16="http://schemas.microsoft.com/office/drawing/2014/chart" uri="{C3380CC4-5D6E-409C-BE32-E72D297353CC}">
              <c16:uniqueId val="{00000001-66CD-EE41-A948-2C244AD95BAD}"/>
            </c:ext>
          </c:extLst>
        </c:ser>
        <c:dLbls>
          <c:showLegendKey val="0"/>
          <c:showVal val="0"/>
          <c:showCatName val="0"/>
          <c:showSerName val="0"/>
          <c:showPercent val="0"/>
          <c:showBubbleSize val="0"/>
        </c:dLbls>
        <c:gapWidth val="15"/>
        <c:overlap val="100"/>
        <c:axId val="704937504"/>
        <c:axId val="-24686032"/>
      </c:barChart>
      <c:catAx>
        <c:axId val="704937504"/>
        <c:scaling>
          <c:orientation val="minMax"/>
        </c:scaling>
        <c:delete val="0"/>
        <c:axPos val="b"/>
        <c:majorTickMark val="out"/>
        <c:minorTickMark val="none"/>
        <c:tickLblPos val="nextTo"/>
        <c:spPr>
          <a:ln>
            <a:solidFill>
              <a:schemeClr val="bg1"/>
            </a:solidFill>
          </a:ln>
        </c:spPr>
        <c:txPr>
          <a:bodyPr/>
          <a:lstStyle/>
          <a:p>
            <a:pPr>
              <a:defRPr>
                <a:solidFill>
                  <a:schemeClr val="bg1"/>
                </a:solidFill>
              </a:defRPr>
            </a:pPr>
            <a:endParaRPr lang="en-CH"/>
          </a:p>
        </c:txPr>
        <c:crossAx val="-24686032"/>
        <c:crosses val="autoZero"/>
        <c:auto val="1"/>
        <c:lblAlgn val="ctr"/>
        <c:lblOffset val="100"/>
        <c:noMultiLvlLbl val="0"/>
      </c:catAx>
      <c:valAx>
        <c:axId val="-24686032"/>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noFill/>
          <a:ln>
            <a:solidFill>
              <a:schemeClr val="bg1"/>
            </a:solidFill>
          </a:ln>
        </c:spPr>
        <c:txPr>
          <a:bodyPr/>
          <a:lstStyle/>
          <a:p>
            <a:pPr>
              <a:defRPr>
                <a:solidFill>
                  <a:schemeClr val="bg1"/>
                </a:solidFill>
              </a:defRPr>
            </a:pPr>
            <a:endParaRPr lang="en-CH"/>
          </a:p>
        </c:txPr>
        <c:crossAx val="704937504"/>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barChart>
        <c:barDir val="col"/>
        <c:grouping val="clustered"/>
        <c:varyColors val="0"/>
        <c:ser>
          <c:idx val="0"/>
          <c:order val="0"/>
          <c:spPr>
            <a:solidFill>
              <a:schemeClr val="accent4">
                <a:lumMod val="75000"/>
              </a:schemeClr>
            </a:solidFill>
          </c:spPr>
          <c:invertIfNegative val="0"/>
          <c:cat>
            <c:strRef>
              <c:f>'Master EU'!$Q$6:$S$6</c:f>
              <c:strCache>
                <c:ptCount val="3"/>
                <c:pt idx="0">
                  <c:v>L1</c:v>
                </c:pt>
                <c:pt idx="1">
                  <c:v>L2</c:v>
                </c:pt>
                <c:pt idx="2">
                  <c:v>L3</c:v>
                </c:pt>
              </c:strCache>
            </c:strRef>
          </c:cat>
          <c:val>
            <c:numRef>
              <c:f>'Master EU'!$Q$7:$S$7</c:f>
              <c:numCache>
                <c:formatCode>General</c:formatCode>
                <c:ptCount val="3"/>
                <c:pt idx="0">
                  <c:v>198.04199999999997</c:v>
                </c:pt>
                <c:pt idx="1">
                  <c:v>185.56199999999998</c:v>
                </c:pt>
                <c:pt idx="2">
                  <c:v>185.56199999999998</c:v>
                </c:pt>
              </c:numCache>
            </c:numRef>
          </c:val>
          <c:extLst>
            <c:ext xmlns:c16="http://schemas.microsoft.com/office/drawing/2014/chart" uri="{C3380CC4-5D6E-409C-BE32-E72D297353CC}">
              <c16:uniqueId val="{00000000-B12E-0744-9AD7-36744EFDC887}"/>
            </c:ext>
          </c:extLst>
        </c:ser>
        <c:ser>
          <c:idx val="1"/>
          <c:order val="1"/>
          <c:spPr>
            <a:solidFill>
              <a:schemeClr val="accent4">
                <a:lumMod val="40000"/>
                <a:lumOff val="60000"/>
              </a:schemeClr>
            </a:solidFill>
          </c:spPr>
          <c:invertIfNegative val="0"/>
          <c:cat>
            <c:strRef>
              <c:f>'Master EU'!$Q$6:$S$6</c:f>
              <c:strCache>
                <c:ptCount val="3"/>
                <c:pt idx="0">
                  <c:v>L1</c:v>
                </c:pt>
                <c:pt idx="1">
                  <c:v>L2</c:v>
                </c:pt>
                <c:pt idx="2">
                  <c:v>L3</c:v>
                </c:pt>
              </c:strCache>
            </c:strRef>
          </c:cat>
          <c:val>
            <c:numRef>
              <c:f>'Master EU'!$T$8:$V$8</c:f>
              <c:numCache>
                <c:formatCode>General</c:formatCode>
                <c:ptCount val="3"/>
                <c:pt idx="0">
                  <c:v>255.70000000000002</c:v>
                </c:pt>
                <c:pt idx="1">
                  <c:v>242.5</c:v>
                </c:pt>
                <c:pt idx="2">
                  <c:v>242.5</c:v>
                </c:pt>
              </c:numCache>
            </c:numRef>
          </c:val>
          <c:extLst>
            <c:ext xmlns:c16="http://schemas.microsoft.com/office/drawing/2014/chart" uri="{C3380CC4-5D6E-409C-BE32-E72D297353CC}">
              <c16:uniqueId val="{00000001-B12E-0744-9AD7-36744EFDC887}"/>
            </c:ext>
          </c:extLst>
        </c:ser>
        <c:ser>
          <c:idx val="2"/>
          <c:order val="2"/>
          <c:spPr>
            <a:solidFill>
              <a:schemeClr val="accent6">
                <a:lumMod val="75000"/>
              </a:schemeClr>
            </a:solidFill>
          </c:spPr>
          <c:invertIfNegative val="0"/>
          <c:cat>
            <c:strRef>
              <c:f>'Master EU'!$Q$6:$S$6</c:f>
              <c:strCache>
                <c:ptCount val="3"/>
                <c:pt idx="0">
                  <c:v>L1</c:v>
                </c:pt>
                <c:pt idx="1">
                  <c:v>L2</c:v>
                </c:pt>
                <c:pt idx="2">
                  <c:v>L3</c:v>
                </c:pt>
              </c:strCache>
            </c:strRef>
          </c:cat>
          <c:val>
            <c:numRef>
              <c:f>'Master EU'!$W$9:$Y$9</c:f>
              <c:numCache>
                <c:formatCode>General</c:formatCode>
                <c:ptCount val="3"/>
                <c:pt idx="0">
                  <c:v>564.99999999999989</c:v>
                </c:pt>
                <c:pt idx="1">
                  <c:v>530.19999999999993</c:v>
                </c:pt>
                <c:pt idx="2">
                  <c:v>530.19999999999993</c:v>
                </c:pt>
              </c:numCache>
            </c:numRef>
          </c:val>
          <c:extLst>
            <c:ext xmlns:c16="http://schemas.microsoft.com/office/drawing/2014/chart" uri="{C3380CC4-5D6E-409C-BE32-E72D297353CC}">
              <c16:uniqueId val="{00000002-B12E-0744-9AD7-36744EFDC887}"/>
            </c:ext>
          </c:extLst>
        </c:ser>
        <c:dLbls>
          <c:showLegendKey val="0"/>
          <c:showVal val="0"/>
          <c:showCatName val="0"/>
          <c:showSerName val="0"/>
          <c:showPercent val="0"/>
          <c:showBubbleSize val="0"/>
        </c:dLbls>
        <c:gapWidth val="150"/>
        <c:axId val="640277840"/>
        <c:axId val="640279888"/>
      </c:barChart>
      <c:catAx>
        <c:axId val="640277840"/>
        <c:scaling>
          <c:orientation val="minMax"/>
        </c:scaling>
        <c:delete val="0"/>
        <c:axPos val="b"/>
        <c:numFmt formatCode="General" sourceLinked="0"/>
        <c:majorTickMark val="out"/>
        <c:minorTickMark val="none"/>
        <c:tickLblPos val="nextTo"/>
        <c:txPr>
          <a:bodyPr/>
          <a:lstStyle/>
          <a:p>
            <a:pPr>
              <a:defRPr sz="1200">
                <a:solidFill>
                  <a:schemeClr val="bg1"/>
                </a:solidFill>
              </a:defRPr>
            </a:pPr>
            <a:endParaRPr lang="en-CH"/>
          </a:p>
        </c:txPr>
        <c:crossAx val="640279888"/>
        <c:crosses val="autoZero"/>
        <c:auto val="1"/>
        <c:lblAlgn val="ctr"/>
        <c:lblOffset val="100"/>
        <c:noMultiLvlLbl val="0"/>
      </c:catAx>
      <c:valAx>
        <c:axId val="640279888"/>
        <c:scaling>
          <c:orientation val="minMax"/>
        </c:scaling>
        <c:delete val="0"/>
        <c:axPos val="l"/>
        <c:majorGridlines/>
        <c:numFmt formatCode="General" sourceLinked="1"/>
        <c:majorTickMark val="out"/>
        <c:minorTickMark val="none"/>
        <c:tickLblPos val="nextTo"/>
        <c:txPr>
          <a:bodyPr/>
          <a:lstStyle/>
          <a:p>
            <a:pPr>
              <a:defRPr>
                <a:solidFill>
                  <a:schemeClr val="bg1"/>
                </a:solidFill>
              </a:defRPr>
            </a:pPr>
            <a:endParaRPr lang="en-CH"/>
          </a:p>
        </c:txPr>
        <c:crossAx val="640277840"/>
        <c:crosses val="autoZero"/>
        <c:crossBetween val="between"/>
      </c:valAx>
      <c:spPr>
        <a:noFill/>
        <a:ln>
          <a:noFill/>
        </a:ln>
      </c:spPr>
    </c:plotArea>
    <c:plotVisOnly val="0"/>
    <c:dispBlanksAs val="gap"/>
    <c:showDLblsOverMax val="0"/>
  </c:chart>
  <c:spPr>
    <a:noFill/>
    <a:ln>
      <a:noFill/>
    </a:ln>
  </c:spPr>
  <c:printSettings>
    <c:headerFooter/>
    <c:pageMargins b="1" l="0.75" r="0.75" t="1"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chemeClr val="bg1"/>
                </a:solidFill>
              </a:defRPr>
            </a:pPr>
            <a:r>
              <a:rPr lang="en-US" sz="1200">
                <a:solidFill>
                  <a:schemeClr val="bg1"/>
                </a:solidFill>
              </a:rPr>
              <a:t>Branch Balance</a:t>
            </a:r>
            <a:r>
              <a:rPr lang="en-US" sz="1200" baseline="0">
                <a:solidFill>
                  <a:schemeClr val="bg1"/>
                </a:solidFill>
              </a:rPr>
              <a:t> MLTC %</a:t>
            </a:r>
          </a:p>
        </c:rich>
      </c:tx>
      <c:overlay val="0"/>
    </c:title>
    <c:autoTitleDeleted val="0"/>
    <c:plotArea>
      <c:layout/>
      <c:barChart>
        <c:barDir val="col"/>
        <c:grouping val="stacked"/>
        <c:varyColors val="0"/>
        <c:ser>
          <c:idx val="0"/>
          <c:order val="0"/>
          <c:invertIfNegative val="0"/>
          <c:dLbls>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MDM-5000'!$Y$214:$AD$214</c:f>
              <c:numCache>
                <c:formatCode>General</c:formatCode>
                <c:ptCount val="6"/>
                <c:pt idx="0">
                  <c:v>75</c:v>
                </c:pt>
                <c:pt idx="1">
                  <c:v>75</c:v>
                </c:pt>
                <c:pt idx="2">
                  <c:v>75</c:v>
                </c:pt>
                <c:pt idx="3">
                  <c:v>62.5</c:v>
                </c:pt>
                <c:pt idx="4">
                  <c:v>62.5</c:v>
                </c:pt>
                <c:pt idx="5">
                  <c:v>62.5</c:v>
                </c:pt>
              </c:numCache>
            </c:numRef>
          </c:val>
          <c:extLst>
            <c:ext xmlns:c16="http://schemas.microsoft.com/office/drawing/2014/chart" uri="{C3380CC4-5D6E-409C-BE32-E72D297353CC}">
              <c16:uniqueId val="{00000000-88BE-5740-97DF-A551DD482B4D}"/>
            </c:ext>
          </c:extLst>
        </c:ser>
        <c:ser>
          <c:idx val="1"/>
          <c:order val="1"/>
          <c:invertIfNegative val="0"/>
          <c:val>
            <c:numRef>
              <c:f>'EU MDM-5000'!$Y$215:$AD$215</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1-88BE-5740-97DF-A551DD482B4D}"/>
            </c:ext>
          </c:extLst>
        </c:ser>
        <c:dLbls>
          <c:showLegendKey val="0"/>
          <c:showVal val="0"/>
          <c:showCatName val="0"/>
          <c:showSerName val="0"/>
          <c:showPercent val="0"/>
          <c:showBubbleSize val="0"/>
        </c:dLbls>
        <c:gapWidth val="15"/>
        <c:overlap val="100"/>
        <c:axId val="-24690960"/>
        <c:axId val="-24688640"/>
      </c:barChart>
      <c:catAx>
        <c:axId val="-24690960"/>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24688640"/>
        <c:crosses val="autoZero"/>
        <c:auto val="1"/>
        <c:lblAlgn val="ctr"/>
        <c:lblOffset val="100"/>
        <c:noMultiLvlLbl val="0"/>
      </c:catAx>
      <c:valAx>
        <c:axId val="-24688640"/>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24690960"/>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rgbClr val="FFFFFF"/>
                </a:solidFill>
              </a:defRPr>
            </a:pPr>
            <a:r>
              <a:rPr lang="en-US" sz="1200">
                <a:solidFill>
                  <a:srgbClr val="FFFFFF"/>
                </a:solidFill>
              </a:rPr>
              <a:t>Cable</a:t>
            </a:r>
            <a:r>
              <a:rPr lang="en-US" sz="1200" baseline="0">
                <a:solidFill>
                  <a:srgbClr val="FFFFFF"/>
                </a:solidFill>
              </a:rPr>
              <a:t> loss %</a:t>
            </a:r>
          </a:p>
        </c:rich>
      </c:tx>
      <c:overlay val="0"/>
    </c:title>
    <c:autoTitleDeleted val="0"/>
    <c:plotArea>
      <c:layout/>
      <c:barChart>
        <c:barDir val="col"/>
        <c:grouping val="stacked"/>
        <c:varyColors val="0"/>
        <c:ser>
          <c:idx val="0"/>
          <c:order val="0"/>
          <c:invertIfNegative val="0"/>
          <c:val>
            <c:numRef>
              <c:f>'EU MDM-5000'!$Y$218:$AD$218</c:f>
              <c:numCache>
                <c:formatCode>General</c:formatCode>
                <c:ptCount val="6"/>
                <c:pt idx="0">
                  <c:v>-6.3219035490848761</c:v>
                </c:pt>
                <c:pt idx="1">
                  <c:v>-6.3219035490848761</c:v>
                </c:pt>
                <c:pt idx="2">
                  <c:v>-6.3219035490848761</c:v>
                </c:pt>
                <c:pt idx="3">
                  <c:v>-4.6159930675857819</c:v>
                </c:pt>
                <c:pt idx="4">
                  <c:v>-4.6159930675857819</c:v>
                </c:pt>
                <c:pt idx="5">
                  <c:v>-4.6159930675857819</c:v>
                </c:pt>
              </c:numCache>
            </c:numRef>
          </c:val>
          <c:extLst>
            <c:ext xmlns:c16="http://schemas.microsoft.com/office/drawing/2014/chart" uri="{C3380CC4-5D6E-409C-BE32-E72D297353CC}">
              <c16:uniqueId val="{00000000-A32E-DE42-8C67-6FBA95510B29}"/>
            </c:ext>
          </c:extLst>
        </c:ser>
        <c:ser>
          <c:idx val="1"/>
          <c:order val="1"/>
          <c:invertIfNegative val="0"/>
          <c:val>
            <c:numRef>
              <c:f>'EU MDM-5000'!$Y$219:$AD$219</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1-A32E-DE42-8C67-6FBA95510B29}"/>
            </c:ext>
          </c:extLst>
        </c:ser>
        <c:dLbls>
          <c:showLegendKey val="0"/>
          <c:showVal val="0"/>
          <c:showCatName val="0"/>
          <c:showSerName val="0"/>
          <c:showPercent val="0"/>
          <c:showBubbleSize val="0"/>
        </c:dLbls>
        <c:gapWidth val="0"/>
        <c:overlap val="100"/>
        <c:axId val="626531856"/>
        <c:axId val="626533904"/>
      </c:barChart>
      <c:catAx>
        <c:axId val="626531856"/>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626533904"/>
        <c:crosses val="autoZero"/>
        <c:auto val="1"/>
        <c:lblAlgn val="ctr"/>
        <c:lblOffset val="100"/>
        <c:noMultiLvlLbl val="0"/>
      </c:catAx>
      <c:valAx>
        <c:axId val="626533904"/>
        <c:scaling>
          <c:orientation val="minMax"/>
          <c:max val="0"/>
          <c:min val="-2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626531856"/>
        <c:crosses val="autoZero"/>
        <c:crossBetween val="between"/>
      </c:valAx>
      <c:spPr>
        <a:solidFill>
          <a:schemeClr val="tx1">
            <a:lumMod val="75000"/>
            <a:lumOff val="25000"/>
            <a:alpha val="0"/>
          </a:schemeClr>
        </a:solidFill>
        <a:ln>
          <a:noFill/>
        </a:ln>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lIns="2">
            <a:spAutoFit/>
          </a:bodyPr>
          <a:lstStyle/>
          <a:p>
            <a:pPr>
              <a:defRPr sz="1200">
                <a:solidFill>
                  <a:srgbClr val="FFFFFF"/>
                </a:solidFill>
              </a:defRPr>
            </a:pPr>
            <a:r>
              <a:rPr lang="en-US" sz="1200">
                <a:solidFill>
                  <a:srgbClr val="FFFFFF"/>
                </a:solidFill>
              </a:rPr>
              <a:t>Inlet</a:t>
            </a:r>
            <a:r>
              <a:rPr lang="en-US" sz="1200" baseline="0">
                <a:solidFill>
                  <a:srgbClr val="FFFFFF"/>
                </a:solidFill>
              </a:rPr>
              <a:t> Usage </a:t>
            </a:r>
          </a:p>
          <a:p>
            <a:pPr>
              <a:defRPr sz="1200">
                <a:solidFill>
                  <a:srgbClr val="FFFFFF"/>
                </a:solidFill>
              </a:defRPr>
            </a:pPr>
            <a:r>
              <a:rPr lang="en-US" sz="1200" baseline="0">
                <a:solidFill>
                  <a:srgbClr val="FFFFFF"/>
                </a:solidFill>
              </a:rPr>
              <a:t>MLTC +30% in %</a:t>
            </a:r>
          </a:p>
        </c:rich>
      </c:tx>
      <c:layout>
        <c:manualLayout>
          <c:xMode val="edge"/>
          <c:yMode val="edge"/>
          <c:x val="0.14041013351591899"/>
          <c:y val="4.8076923076923097E-3"/>
        </c:manualLayout>
      </c:layout>
      <c:overlay val="0"/>
    </c:title>
    <c:autoTitleDeleted val="0"/>
    <c:plotArea>
      <c:layout>
        <c:manualLayout>
          <c:layoutTarget val="inner"/>
          <c:xMode val="edge"/>
          <c:yMode val="edge"/>
          <c:x val="0.28618969219756601"/>
          <c:y val="0.172115384615385"/>
          <c:w val="0.59562848962061599"/>
          <c:h val="0.70602589339794097"/>
        </c:manualLayout>
      </c:layout>
      <c:barChart>
        <c:barDir val="col"/>
        <c:grouping val="stacked"/>
        <c:varyColors val="0"/>
        <c:ser>
          <c:idx val="0"/>
          <c:order val="0"/>
          <c:invertIfNegative val="0"/>
          <c:dLbls>
            <c:dLbl>
              <c:idx val="0"/>
              <c:layout>
                <c:manualLayout>
                  <c:x val="2.6086956521739101E-2"/>
                  <c:y val="8.27815209791803E-17"/>
                </c:manualLayout>
              </c:layout>
              <c:showLegendKey val="0"/>
              <c:showVal val="1"/>
              <c:showCatName val="0"/>
              <c:showSerName val="0"/>
              <c:showPercent val="0"/>
              <c:showBubbleSize val="0"/>
              <c:extLst>
                <c:ext xmlns:c15="http://schemas.microsoft.com/office/drawing/2012/chart" uri="{CE6537A1-D6FC-4f65-9D91-7224C49458BB}">
                  <c15:layout>
                    <c:manualLayout>
                      <c:w val="0.26208695652173902"/>
                      <c:h val="0.12376732921092"/>
                    </c:manualLayout>
                  </c15:layout>
                </c:ext>
                <c:ext xmlns:c16="http://schemas.microsoft.com/office/drawing/2014/chart" uri="{C3380CC4-5D6E-409C-BE32-E72D297353CC}">
                  <c16:uniqueId val="{00000000-AD2A-724F-94DE-FF46EB7BB753}"/>
                </c:ext>
              </c:extLst>
            </c:dLbl>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MDM-832'!$X$32</c:f>
              <c:numCache>
                <c:formatCode>General</c:formatCode>
                <c:ptCount val="1"/>
                <c:pt idx="0">
                  <c:v>74.75</c:v>
                </c:pt>
              </c:numCache>
            </c:numRef>
          </c:val>
          <c:extLst>
            <c:ext xmlns:c16="http://schemas.microsoft.com/office/drawing/2014/chart" uri="{C3380CC4-5D6E-409C-BE32-E72D297353CC}">
              <c16:uniqueId val="{00000001-AD2A-724F-94DE-FF46EB7BB753}"/>
            </c:ext>
          </c:extLst>
        </c:ser>
        <c:ser>
          <c:idx val="1"/>
          <c:order val="1"/>
          <c:invertIfNegative val="0"/>
          <c:val>
            <c:numRef>
              <c:f>'EU MDM-832'!$X$33</c:f>
              <c:numCache>
                <c:formatCode>General</c:formatCode>
                <c:ptCount val="1"/>
                <c:pt idx="0">
                  <c:v>#N/A</c:v>
                </c:pt>
              </c:numCache>
            </c:numRef>
          </c:val>
          <c:extLst>
            <c:ext xmlns:c16="http://schemas.microsoft.com/office/drawing/2014/chart" uri="{C3380CC4-5D6E-409C-BE32-E72D297353CC}">
              <c16:uniqueId val="{00000002-AD2A-724F-94DE-FF46EB7BB753}"/>
            </c:ext>
          </c:extLst>
        </c:ser>
        <c:dLbls>
          <c:showLegendKey val="0"/>
          <c:showVal val="0"/>
          <c:showCatName val="0"/>
          <c:showSerName val="0"/>
          <c:showPercent val="0"/>
          <c:showBubbleSize val="0"/>
        </c:dLbls>
        <c:gapWidth val="15"/>
        <c:overlap val="100"/>
        <c:axId val="-24706528"/>
        <c:axId val="-24704480"/>
      </c:barChart>
      <c:catAx>
        <c:axId val="-24706528"/>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24704480"/>
        <c:crosses val="autoZero"/>
        <c:auto val="1"/>
        <c:lblAlgn val="ctr"/>
        <c:lblOffset val="100"/>
        <c:noMultiLvlLbl val="0"/>
      </c:catAx>
      <c:valAx>
        <c:axId val="-24704480"/>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24706528"/>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rgbClr val="FFFFFF"/>
                </a:solidFill>
              </a:defRPr>
            </a:pPr>
            <a:r>
              <a:rPr lang="en-US" sz="1200">
                <a:solidFill>
                  <a:srgbClr val="FFFFFF"/>
                </a:solidFill>
              </a:rPr>
              <a:t>Cable</a:t>
            </a:r>
            <a:r>
              <a:rPr lang="en-US" sz="1200" baseline="0">
                <a:solidFill>
                  <a:srgbClr val="FFFFFF"/>
                </a:solidFill>
              </a:rPr>
              <a:t> loss %</a:t>
            </a:r>
          </a:p>
        </c:rich>
      </c:tx>
      <c:overlay val="0"/>
    </c:title>
    <c:autoTitleDeleted val="0"/>
    <c:plotArea>
      <c:layout/>
      <c:barChart>
        <c:barDir val="col"/>
        <c:grouping val="stacked"/>
        <c:varyColors val="0"/>
        <c:ser>
          <c:idx val="0"/>
          <c:order val="0"/>
          <c:invertIfNegative val="0"/>
          <c:val>
            <c:numRef>
              <c:f>'EU MDM-832'!$AC$32:$AJ$32</c:f>
              <c:numCache>
                <c:formatCode>General</c:formatCode>
                <c:ptCount val="8"/>
                <c:pt idx="0">
                  <c:v>-1.0912809697825081</c:v>
                </c:pt>
                <c:pt idx="1">
                  <c:v>-1.0912809697825081</c:v>
                </c:pt>
                <c:pt idx="2">
                  <c:v>-1.0912809697825081</c:v>
                </c:pt>
                <c:pt idx="3">
                  <c:v>-1.0912809697825081</c:v>
                </c:pt>
                <c:pt idx="4">
                  <c:v>-0.60208605229379764</c:v>
                </c:pt>
                <c:pt idx="5">
                  <c:v>-0.60208605229379764</c:v>
                </c:pt>
                <c:pt idx="6">
                  <c:v>-0.60208605229379764</c:v>
                </c:pt>
                <c:pt idx="7">
                  <c:v>-0.60208605229379764</c:v>
                </c:pt>
              </c:numCache>
            </c:numRef>
          </c:val>
          <c:extLst>
            <c:ext xmlns:c16="http://schemas.microsoft.com/office/drawing/2014/chart" uri="{C3380CC4-5D6E-409C-BE32-E72D297353CC}">
              <c16:uniqueId val="{00000000-F80E-164F-8C30-EA6045AE01EE}"/>
            </c:ext>
          </c:extLst>
        </c:ser>
        <c:ser>
          <c:idx val="1"/>
          <c:order val="1"/>
          <c:invertIfNegative val="0"/>
          <c:val>
            <c:numRef>
              <c:f>'EU MDM-832'!$AC$33:$AJ$33</c:f>
              <c:numCache>
                <c:formatCode>General</c:formatCode>
                <c:ptCount val="8"/>
                <c:pt idx="0">
                  <c:v>#N/A</c:v>
                </c:pt>
                <c:pt idx="1">
                  <c:v>#N/A</c:v>
                </c:pt>
                <c:pt idx="2">
                  <c:v>#N/A</c:v>
                </c:pt>
                <c:pt idx="3">
                  <c:v>#N/A</c:v>
                </c:pt>
                <c:pt idx="4">
                  <c:v>#N/A</c:v>
                </c:pt>
                <c:pt idx="5">
                  <c:v>#N/A</c:v>
                </c:pt>
                <c:pt idx="6">
                  <c:v>#N/A</c:v>
                </c:pt>
                <c:pt idx="7">
                  <c:v>#N/A</c:v>
                </c:pt>
              </c:numCache>
            </c:numRef>
          </c:val>
          <c:extLst>
            <c:ext xmlns:c16="http://schemas.microsoft.com/office/drawing/2014/chart" uri="{C3380CC4-5D6E-409C-BE32-E72D297353CC}">
              <c16:uniqueId val="{00000001-F80E-164F-8C30-EA6045AE01EE}"/>
            </c:ext>
          </c:extLst>
        </c:ser>
        <c:dLbls>
          <c:showLegendKey val="0"/>
          <c:showVal val="0"/>
          <c:showCatName val="0"/>
          <c:showSerName val="0"/>
          <c:showPercent val="0"/>
          <c:showBubbleSize val="0"/>
        </c:dLbls>
        <c:gapWidth val="0"/>
        <c:overlap val="100"/>
        <c:axId val="640090544"/>
        <c:axId val="640092864"/>
      </c:barChart>
      <c:catAx>
        <c:axId val="640090544"/>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640092864"/>
        <c:crosses val="autoZero"/>
        <c:auto val="1"/>
        <c:lblAlgn val="ctr"/>
        <c:lblOffset val="100"/>
        <c:noMultiLvlLbl val="0"/>
      </c:catAx>
      <c:valAx>
        <c:axId val="640092864"/>
        <c:scaling>
          <c:orientation val="minMax"/>
          <c:max val="0"/>
          <c:min val="-1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640090544"/>
        <c:crosses val="autoZero"/>
        <c:crossBetween val="between"/>
      </c:valAx>
      <c:spPr>
        <a:noFill/>
        <a:ln w="25400">
          <a:noFill/>
        </a:ln>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solidFill>
                  <a:srgbClr val="FFFFFF"/>
                </a:solidFill>
              </a:defRPr>
            </a:pPr>
            <a:r>
              <a:rPr lang="en-US" sz="1200">
                <a:solidFill>
                  <a:srgbClr val="FFFFFF"/>
                </a:solidFill>
              </a:rPr>
              <a:t>Output Breaker</a:t>
            </a:r>
            <a:r>
              <a:rPr lang="en-US" sz="1200" baseline="0">
                <a:solidFill>
                  <a:srgbClr val="FFFFFF"/>
                </a:solidFill>
              </a:rPr>
              <a:t> load</a:t>
            </a:r>
          </a:p>
          <a:p>
            <a:pPr>
              <a:defRPr>
                <a:solidFill>
                  <a:srgbClr val="FFFFFF"/>
                </a:solidFill>
              </a:defRPr>
            </a:pPr>
            <a:r>
              <a:rPr lang="en-US" sz="1200" baseline="0">
                <a:solidFill>
                  <a:srgbClr val="FFFFFF"/>
                </a:solidFill>
              </a:rPr>
              <a:t>MLTC in %</a:t>
            </a:r>
            <a:endParaRPr lang="en-US" sz="1200">
              <a:solidFill>
                <a:srgbClr val="FFFFFF"/>
              </a:solidFill>
            </a:endParaRPr>
          </a:p>
        </c:rich>
      </c:tx>
      <c:layout>
        <c:manualLayout>
          <c:xMode val="edge"/>
          <c:yMode val="edge"/>
          <c:x val="0.14250039109349699"/>
          <c:y val="1.44578313253012E-2"/>
        </c:manualLayout>
      </c:layout>
      <c:overlay val="0"/>
    </c:title>
    <c:autoTitleDeleted val="0"/>
    <c:plotArea>
      <c:layout>
        <c:manualLayout>
          <c:layoutTarget val="inner"/>
          <c:xMode val="edge"/>
          <c:yMode val="edge"/>
          <c:x val="0.20848255723001499"/>
          <c:y val="0.218795180722892"/>
          <c:w val="0.70542472753819696"/>
          <c:h val="0.65905246181576704"/>
        </c:manualLayout>
      </c:layout>
      <c:barChart>
        <c:barDir val="col"/>
        <c:grouping val="stacked"/>
        <c:varyColors val="0"/>
        <c:ser>
          <c:idx val="0"/>
          <c:order val="0"/>
          <c:invertIfNegative val="0"/>
          <c:dLbls>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MDM-832'!$Y$32:$Z$32</c:f>
              <c:numCache>
                <c:formatCode>General</c:formatCode>
                <c:ptCount val="2"/>
                <c:pt idx="0">
                  <c:v>64.000000000000014</c:v>
                </c:pt>
                <c:pt idx="1">
                  <c:v>58.666666666666671</c:v>
                </c:pt>
              </c:numCache>
            </c:numRef>
          </c:val>
          <c:extLst>
            <c:ext xmlns:c16="http://schemas.microsoft.com/office/drawing/2014/chart" uri="{C3380CC4-5D6E-409C-BE32-E72D297353CC}">
              <c16:uniqueId val="{00000000-9193-5B4D-9BBC-DBB099DB6DF5}"/>
            </c:ext>
          </c:extLst>
        </c:ser>
        <c:ser>
          <c:idx val="1"/>
          <c:order val="1"/>
          <c:invertIfNegative val="0"/>
          <c:val>
            <c:numRef>
              <c:f>'EU MDM-832'!$Y$33:$Z$33</c:f>
              <c:numCache>
                <c:formatCode>General</c:formatCode>
                <c:ptCount val="2"/>
                <c:pt idx="0">
                  <c:v>#N/A</c:v>
                </c:pt>
                <c:pt idx="1">
                  <c:v>#N/A</c:v>
                </c:pt>
              </c:numCache>
            </c:numRef>
          </c:val>
          <c:extLst>
            <c:ext xmlns:c16="http://schemas.microsoft.com/office/drawing/2014/chart" uri="{C3380CC4-5D6E-409C-BE32-E72D297353CC}">
              <c16:uniqueId val="{00000001-9193-5B4D-9BBC-DBB099DB6DF5}"/>
            </c:ext>
          </c:extLst>
        </c:ser>
        <c:dLbls>
          <c:showLegendKey val="0"/>
          <c:showVal val="0"/>
          <c:showCatName val="0"/>
          <c:showSerName val="0"/>
          <c:showPercent val="0"/>
          <c:showBubbleSize val="0"/>
        </c:dLbls>
        <c:gapWidth val="15"/>
        <c:overlap val="100"/>
        <c:axId val="-14382432"/>
        <c:axId val="-14607216"/>
      </c:barChart>
      <c:catAx>
        <c:axId val="-14382432"/>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14607216"/>
        <c:crosses val="autoZero"/>
        <c:auto val="1"/>
        <c:lblAlgn val="ctr"/>
        <c:lblOffset val="100"/>
        <c:noMultiLvlLbl val="0"/>
      </c:catAx>
      <c:valAx>
        <c:axId val="-14607216"/>
        <c:scaling>
          <c:orientation val="minMax"/>
          <c:max val="12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14382432"/>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a:solidFill>
                  <a:schemeClr val="bg1"/>
                </a:solidFill>
              </a:rPr>
              <a:t>Breaker 1 branches</a:t>
            </a:r>
          </a:p>
        </c:rich>
      </c:tx>
      <c:overlay val="0"/>
    </c:title>
    <c:autoTitleDeleted val="0"/>
    <c:plotArea>
      <c:layout/>
      <c:pieChart>
        <c:varyColors val="1"/>
        <c:ser>
          <c:idx val="0"/>
          <c:order val="0"/>
          <c:spPr>
            <a:solidFill>
              <a:schemeClr val="accent1">
                <a:lumMod val="75000"/>
              </a:schemeClr>
            </a:solidFill>
            <a:ln>
              <a:solidFill>
                <a:schemeClr val="tx1">
                  <a:lumMod val="75000"/>
                  <a:lumOff val="25000"/>
                  <a:alpha val="0"/>
                </a:schemeClr>
              </a:solidFill>
            </a:ln>
          </c:spPr>
          <c:dPt>
            <c:idx val="1"/>
            <c:bubble3D val="0"/>
            <c:spPr>
              <a:solidFill>
                <a:schemeClr val="accent1">
                  <a:lumMod val="60000"/>
                  <a:lumOff val="40000"/>
                </a:schemeClr>
              </a:solidFill>
              <a:ln>
                <a:solidFill>
                  <a:schemeClr val="tx1">
                    <a:lumMod val="75000"/>
                    <a:lumOff val="25000"/>
                    <a:alpha val="0"/>
                  </a:schemeClr>
                </a:solidFill>
              </a:ln>
            </c:spPr>
            <c:extLst>
              <c:ext xmlns:c16="http://schemas.microsoft.com/office/drawing/2014/chart" uri="{C3380CC4-5D6E-409C-BE32-E72D297353CC}">
                <c16:uniqueId val="{00000001-E4B3-8043-8715-AA47F6AD732F}"/>
              </c:ext>
            </c:extLst>
          </c:dPt>
          <c:dPt>
            <c:idx val="2"/>
            <c:bubble3D val="0"/>
            <c:spPr>
              <a:solidFill>
                <a:schemeClr val="accent1">
                  <a:lumMod val="40000"/>
                  <a:lumOff val="60000"/>
                </a:schemeClr>
              </a:solidFill>
              <a:ln>
                <a:solidFill>
                  <a:schemeClr val="tx1">
                    <a:lumMod val="75000"/>
                    <a:lumOff val="25000"/>
                    <a:alpha val="0"/>
                  </a:schemeClr>
                </a:solidFill>
              </a:ln>
            </c:spPr>
            <c:extLst>
              <c:ext xmlns:c16="http://schemas.microsoft.com/office/drawing/2014/chart" uri="{C3380CC4-5D6E-409C-BE32-E72D297353CC}">
                <c16:uniqueId val="{00000003-E4B3-8043-8715-AA47F6AD732F}"/>
              </c:ext>
            </c:extLst>
          </c:dPt>
          <c:dPt>
            <c:idx val="3"/>
            <c:bubble3D val="0"/>
            <c:spPr>
              <a:solidFill>
                <a:schemeClr val="accent1">
                  <a:lumMod val="20000"/>
                  <a:lumOff val="80000"/>
                </a:schemeClr>
              </a:solidFill>
              <a:ln>
                <a:solidFill>
                  <a:schemeClr val="tx1">
                    <a:lumMod val="75000"/>
                    <a:lumOff val="25000"/>
                    <a:alpha val="0"/>
                  </a:schemeClr>
                </a:solidFill>
              </a:ln>
            </c:spPr>
            <c:extLst>
              <c:ext xmlns:c16="http://schemas.microsoft.com/office/drawing/2014/chart" uri="{C3380CC4-5D6E-409C-BE32-E72D297353CC}">
                <c16:uniqueId val="{00000005-E4B3-8043-8715-AA47F6AD732F}"/>
              </c:ext>
            </c:extLst>
          </c:dPt>
          <c:dLbls>
            <c:spPr>
              <a:noFill/>
            </c:spPr>
            <c:txPr>
              <a:bodyPr/>
              <a:lstStyle/>
              <a:p>
                <a:pPr>
                  <a:defRPr sz="1200" b="1" i="1">
                    <a:solidFill>
                      <a:schemeClr val="tx1">
                        <a:lumMod val="75000"/>
                        <a:lumOff val="25000"/>
                      </a:schemeClr>
                    </a:solidFill>
                  </a:defRPr>
                </a:pPr>
                <a:endParaRPr lang="en-CH"/>
              </a:p>
            </c:txPr>
            <c:showLegendKey val="0"/>
            <c:showVal val="0"/>
            <c:showCatName val="1"/>
            <c:showSerName val="0"/>
            <c:showPercent val="1"/>
            <c:showBubbleSize val="0"/>
            <c:showLeaderLines val="1"/>
            <c:extLst>
              <c:ext xmlns:c15="http://schemas.microsoft.com/office/drawing/2012/chart" uri="{CE6537A1-D6FC-4f65-9D91-7224C49458BB}"/>
            </c:extLst>
          </c:dLbls>
          <c:cat>
            <c:numRef>
              <c:f>('EU MDM-832'!$D$8,'EU MDM-832'!$F$8,'EU MDM-832'!$H$8,'EU MDM-832'!$J$8)</c:f>
              <c:numCache>
                <c:formatCode>General</c:formatCode>
                <c:ptCount val="4"/>
                <c:pt idx="0">
                  <c:v>1</c:v>
                </c:pt>
                <c:pt idx="1">
                  <c:v>2</c:v>
                </c:pt>
                <c:pt idx="2">
                  <c:v>3</c:v>
                </c:pt>
                <c:pt idx="3">
                  <c:v>4</c:v>
                </c:pt>
              </c:numCache>
            </c:numRef>
          </c:cat>
          <c:val>
            <c:numRef>
              <c:f>('EU MDM-832'!$D$14,'EU MDM-832'!$F$14,'EU MDM-832'!$H$14,'EU MDM-832'!$J$14)</c:f>
              <c:numCache>
                <c:formatCode>0.0</c:formatCode>
                <c:ptCount val="4"/>
                <c:pt idx="0">
                  <c:v>2.4000000000000004</c:v>
                </c:pt>
                <c:pt idx="1">
                  <c:v>2.4000000000000004</c:v>
                </c:pt>
                <c:pt idx="2">
                  <c:v>2.4000000000000004</c:v>
                </c:pt>
                <c:pt idx="3">
                  <c:v>2.4000000000000004</c:v>
                </c:pt>
              </c:numCache>
            </c:numRef>
          </c:val>
          <c:extLst>
            <c:ext xmlns:c16="http://schemas.microsoft.com/office/drawing/2014/chart" uri="{C3380CC4-5D6E-409C-BE32-E72D297353CC}">
              <c16:uniqueId val="{00000006-E4B3-8043-8715-AA47F6AD732F}"/>
            </c:ext>
          </c:extLst>
        </c:ser>
        <c:dLbls>
          <c:showLegendKey val="0"/>
          <c:showVal val="0"/>
          <c:showCatName val="0"/>
          <c:showSerName val="0"/>
          <c:showPercent val="1"/>
          <c:showBubbleSize val="0"/>
          <c:showLeaderLines val="1"/>
        </c:dLbls>
        <c:firstSliceAng val="0"/>
      </c:pieChart>
    </c:plotArea>
    <c:plotVisOnly val="1"/>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a:solidFill>
                  <a:schemeClr val="bg1"/>
                </a:solidFill>
              </a:rPr>
              <a:t>Breaker 2 branches</a:t>
            </a:r>
          </a:p>
        </c:rich>
      </c:tx>
      <c:overlay val="0"/>
    </c:title>
    <c:autoTitleDeleted val="0"/>
    <c:plotArea>
      <c:layout/>
      <c:pieChart>
        <c:varyColors val="1"/>
        <c:ser>
          <c:idx val="0"/>
          <c:order val="0"/>
          <c:spPr>
            <a:ln>
              <a:solidFill>
                <a:schemeClr val="tx1">
                  <a:lumMod val="75000"/>
                  <a:lumOff val="25000"/>
                  <a:alpha val="0"/>
                </a:schemeClr>
              </a:solidFill>
            </a:ln>
          </c:spPr>
          <c:dPt>
            <c:idx val="0"/>
            <c:bubble3D val="0"/>
            <c:spPr>
              <a:solidFill>
                <a:schemeClr val="accent1">
                  <a:lumMod val="75000"/>
                </a:schemeClr>
              </a:solidFill>
              <a:ln>
                <a:solidFill>
                  <a:schemeClr val="tx1">
                    <a:lumMod val="75000"/>
                    <a:lumOff val="25000"/>
                    <a:alpha val="0"/>
                  </a:schemeClr>
                </a:solidFill>
              </a:ln>
            </c:spPr>
            <c:extLst>
              <c:ext xmlns:c16="http://schemas.microsoft.com/office/drawing/2014/chart" uri="{C3380CC4-5D6E-409C-BE32-E72D297353CC}">
                <c16:uniqueId val="{00000001-B5A0-C240-BBEA-8D3338BB815A}"/>
              </c:ext>
            </c:extLst>
          </c:dPt>
          <c:dPt>
            <c:idx val="1"/>
            <c:bubble3D val="0"/>
            <c:spPr>
              <a:solidFill>
                <a:schemeClr val="accent1">
                  <a:lumMod val="60000"/>
                  <a:lumOff val="40000"/>
                </a:schemeClr>
              </a:solidFill>
              <a:ln>
                <a:solidFill>
                  <a:schemeClr val="tx1">
                    <a:lumMod val="75000"/>
                    <a:lumOff val="25000"/>
                    <a:alpha val="0"/>
                  </a:schemeClr>
                </a:solidFill>
              </a:ln>
            </c:spPr>
            <c:extLst>
              <c:ext xmlns:c16="http://schemas.microsoft.com/office/drawing/2014/chart" uri="{C3380CC4-5D6E-409C-BE32-E72D297353CC}">
                <c16:uniqueId val="{00000003-B5A0-C240-BBEA-8D3338BB815A}"/>
              </c:ext>
            </c:extLst>
          </c:dPt>
          <c:dPt>
            <c:idx val="2"/>
            <c:bubble3D val="0"/>
            <c:spPr>
              <a:solidFill>
                <a:schemeClr val="accent1">
                  <a:lumMod val="40000"/>
                  <a:lumOff val="60000"/>
                </a:schemeClr>
              </a:solidFill>
              <a:ln>
                <a:solidFill>
                  <a:schemeClr val="tx1">
                    <a:lumMod val="75000"/>
                    <a:lumOff val="25000"/>
                    <a:alpha val="0"/>
                  </a:schemeClr>
                </a:solidFill>
              </a:ln>
            </c:spPr>
            <c:extLst>
              <c:ext xmlns:c16="http://schemas.microsoft.com/office/drawing/2014/chart" uri="{C3380CC4-5D6E-409C-BE32-E72D297353CC}">
                <c16:uniqueId val="{00000005-B5A0-C240-BBEA-8D3338BB815A}"/>
              </c:ext>
            </c:extLst>
          </c:dPt>
          <c:dPt>
            <c:idx val="3"/>
            <c:bubble3D val="0"/>
            <c:spPr>
              <a:solidFill>
                <a:schemeClr val="accent1">
                  <a:lumMod val="20000"/>
                  <a:lumOff val="80000"/>
                </a:schemeClr>
              </a:solidFill>
              <a:ln>
                <a:solidFill>
                  <a:schemeClr val="tx1">
                    <a:lumMod val="75000"/>
                    <a:lumOff val="25000"/>
                    <a:alpha val="0"/>
                  </a:schemeClr>
                </a:solidFill>
              </a:ln>
            </c:spPr>
            <c:extLst>
              <c:ext xmlns:c16="http://schemas.microsoft.com/office/drawing/2014/chart" uri="{C3380CC4-5D6E-409C-BE32-E72D297353CC}">
                <c16:uniqueId val="{00000007-B5A0-C240-BBEA-8D3338BB815A}"/>
              </c:ext>
            </c:extLst>
          </c:dPt>
          <c:dLbls>
            <c:spPr>
              <a:noFill/>
              <a:ln>
                <a:noFill/>
              </a:ln>
              <a:effectLst/>
            </c:spPr>
            <c:txPr>
              <a:bodyPr/>
              <a:lstStyle/>
              <a:p>
                <a:pPr>
                  <a:defRPr sz="1200" b="1" i="1">
                    <a:solidFill>
                      <a:srgbClr val="404040"/>
                    </a:solidFill>
                  </a:defRPr>
                </a:pPr>
                <a:endParaRPr lang="en-CH"/>
              </a:p>
            </c:txPr>
            <c:showLegendKey val="0"/>
            <c:showVal val="0"/>
            <c:showCatName val="1"/>
            <c:showSerName val="0"/>
            <c:showPercent val="1"/>
            <c:showBubbleSize val="0"/>
            <c:showLeaderLines val="1"/>
            <c:extLst>
              <c:ext xmlns:c15="http://schemas.microsoft.com/office/drawing/2012/chart" uri="{CE6537A1-D6FC-4f65-9D91-7224C49458BB}"/>
            </c:extLst>
          </c:dLbls>
          <c:cat>
            <c:numRef>
              <c:f>('EU MDM-832'!$L$8,'EU MDM-832'!$N$8,'EU MDM-832'!$P$8,'EU MDM-832'!$R$8)</c:f>
              <c:numCache>
                <c:formatCode>General</c:formatCode>
                <c:ptCount val="4"/>
                <c:pt idx="0">
                  <c:v>5</c:v>
                </c:pt>
                <c:pt idx="1">
                  <c:v>6</c:v>
                </c:pt>
                <c:pt idx="2">
                  <c:v>7</c:v>
                </c:pt>
                <c:pt idx="3">
                  <c:v>8</c:v>
                </c:pt>
              </c:numCache>
            </c:numRef>
          </c:cat>
          <c:val>
            <c:numRef>
              <c:f>('EU MDM-832'!$L$14,'EU MDM-832'!$N$14,'EU MDM-832'!$P$14,'EU MDM-832'!$R$14)</c:f>
              <c:numCache>
                <c:formatCode>0.0</c:formatCode>
                <c:ptCount val="4"/>
                <c:pt idx="0">
                  <c:v>2.2000000000000002</c:v>
                </c:pt>
                <c:pt idx="1">
                  <c:v>2.2000000000000002</c:v>
                </c:pt>
                <c:pt idx="2">
                  <c:v>2.2000000000000002</c:v>
                </c:pt>
                <c:pt idx="3">
                  <c:v>2.2000000000000002</c:v>
                </c:pt>
              </c:numCache>
            </c:numRef>
          </c:val>
          <c:extLst>
            <c:ext xmlns:c16="http://schemas.microsoft.com/office/drawing/2014/chart" uri="{C3380CC4-5D6E-409C-BE32-E72D297353CC}">
              <c16:uniqueId val="{00000008-B5A0-C240-BBEA-8D3338BB815A}"/>
            </c:ext>
          </c:extLst>
        </c:ser>
        <c:dLbls>
          <c:showLegendKey val="0"/>
          <c:showVal val="0"/>
          <c:showCatName val="0"/>
          <c:showSerName val="0"/>
          <c:showPercent val="1"/>
          <c:showBubbleSize val="0"/>
          <c:showLeaderLines val="1"/>
        </c:dLbls>
        <c:firstSliceAng val="0"/>
      </c:pieChart>
    </c:plotArea>
    <c:plotVisOnly val="1"/>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lIns="2">
            <a:spAutoFit/>
          </a:bodyPr>
          <a:lstStyle/>
          <a:p>
            <a:pPr>
              <a:defRPr sz="1200">
                <a:solidFill>
                  <a:srgbClr val="FFFFFF"/>
                </a:solidFill>
              </a:defRPr>
            </a:pPr>
            <a:r>
              <a:rPr lang="en-US" sz="1200">
                <a:solidFill>
                  <a:srgbClr val="FFFFFF"/>
                </a:solidFill>
              </a:rPr>
              <a:t>Inlet</a:t>
            </a:r>
            <a:r>
              <a:rPr lang="en-US" sz="1200" baseline="0">
                <a:solidFill>
                  <a:srgbClr val="FFFFFF"/>
                </a:solidFill>
              </a:rPr>
              <a:t> Usage </a:t>
            </a:r>
          </a:p>
          <a:p>
            <a:pPr>
              <a:defRPr sz="1200">
                <a:solidFill>
                  <a:srgbClr val="FFFFFF"/>
                </a:solidFill>
              </a:defRPr>
            </a:pPr>
            <a:r>
              <a:rPr lang="en-US" sz="1200" baseline="0">
                <a:solidFill>
                  <a:srgbClr val="FFFFFF"/>
                </a:solidFill>
              </a:rPr>
              <a:t>MLTC +30% in %</a:t>
            </a:r>
          </a:p>
        </c:rich>
      </c:tx>
      <c:layout>
        <c:manualLayout>
          <c:xMode val="edge"/>
          <c:yMode val="edge"/>
          <c:x val="0.14041013351591899"/>
          <c:y val="4.8076923076923097E-3"/>
        </c:manualLayout>
      </c:layout>
      <c:overlay val="0"/>
    </c:title>
    <c:autoTitleDeleted val="0"/>
    <c:plotArea>
      <c:layout>
        <c:manualLayout>
          <c:layoutTarget val="inner"/>
          <c:xMode val="edge"/>
          <c:yMode val="edge"/>
          <c:x val="0.28618969219756601"/>
          <c:y val="0.172115384615385"/>
          <c:w val="0.59562848962061599"/>
          <c:h val="0.70602589339794097"/>
        </c:manualLayout>
      </c:layout>
      <c:barChart>
        <c:barDir val="col"/>
        <c:grouping val="stacked"/>
        <c:varyColors val="0"/>
        <c:ser>
          <c:idx val="0"/>
          <c:order val="0"/>
          <c:invertIfNegative val="0"/>
          <c:dLbls>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MDM-832'!$X$70</c:f>
              <c:numCache>
                <c:formatCode>General</c:formatCode>
                <c:ptCount val="1"/>
                <c:pt idx="0">
                  <c:v>35.75</c:v>
                </c:pt>
              </c:numCache>
            </c:numRef>
          </c:val>
          <c:extLst>
            <c:ext xmlns:c16="http://schemas.microsoft.com/office/drawing/2014/chart" uri="{C3380CC4-5D6E-409C-BE32-E72D297353CC}">
              <c16:uniqueId val="{00000000-C7F7-D04B-ADDA-567293F43151}"/>
            </c:ext>
          </c:extLst>
        </c:ser>
        <c:ser>
          <c:idx val="1"/>
          <c:order val="1"/>
          <c:invertIfNegative val="0"/>
          <c:val>
            <c:numRef>
              <c:f>'EU MDM-832'!$X$71</c:f>
              <c:numCache>
                <c:formatCode>General</c:formatCode>
                <c:ptCount val="1"/>
                <c:pt idx="0">
                  <c:v>#N/A</c:v>
                </c:pt>
              </c:numCache>
            </c:numRef>
          </c:val>
          <c:extLst>
            <c:ext xmlns:c16="http://schemas.microsoft.com/office/drawing/2014/chart" uri="{C3380CC4-5D6E-409C-BE32-E72D297353CC}">
              <c16:uniqueId val="{00000001-C7F7-D04B-ADDA-567293F43151}"/>
            </c:ext>
          </c:extLst>
        </c:ser>
        <c:dLbls>
          <c:showLegendKey val="0"/>
          <c:showVal val="0"/>
          <c:showCatName val="0"/>
          <c:showSerName val="0"/>
          <c:showPercent val="0"/>
          <c:showBubbleSize val="0"/>
        </c:dLbls>
        <c:gapWidth val="15"/>
        <c:overlap val="100"/>
        <c:axId val="-24765648"/>
        <c:axId val="-24763328"/>
      </c:barChart>
      <c:catAx>
        <c:axId val="-24765648"/>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24763328"/>
        <c:crosses val="autoZero"/>
        <c:auto val="1"/>
        <c:lblAlgn val="ctr"/>
        <c:lblOffset val="100"/>
        <c:noMultiLvlLbl val="0"/>
      </c:catAx>
      <c:valAx>
        <c:axId val="-24763328"/>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24765648"/>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rgbClr val="FFFFFF"/>
                </a:solidFill>
              </a:defRPr>
            </a:pPr>
            <a:r>
              <a:rPr lang="en-US" sz="1200">
                <a:solidFill>
                  <a:srgbClr val="FFFFFF"/>
                </a:solidFill>
              </a:rPr>
              <a:t>Cable</a:t>
            </a:r>
            <a:r>
              <a:rPr lang="en-US" sz="1200" baseline="0">
                <a:solidFill>
                  <a:srgbClr val="FFFFFF"/>
                </a:solidFill>
              </a:rPr>
              <a:t> loss %</a:t>
            </a:r>
          </a:p>
        </c:rich>
      </c:tx>
      <c:overlay val="0"/>
    </c:title>
    <c:autoTitleDeleted val="0"/>
    <c:plotArea>
      <c:layout/>
      <c:barChart>
        <c:barDir val="col"/>
        <c:grouping val="stacked"/>
        <c:varyColors val="0"/>
        <c:ser>
          <c:idx val="0"/>
          <c:order val="0"/>
          <c:invertIfNegative val="0"/>
          <c:val>
            <c:numRef>
              <c:f>'EU MDM-832'!$AC$70:$AJ$70</c:f>
              <c:numCache>
                <c:formatCode>General</c:formatCode>
                <c:ptCount val="8"/>
                <c:pt idx="0">
                  <c:v>-0.30104302614689882</c:v>
                </c:pt>
                <c:pt idx="1">
                  <c:v>-0.30104302614689882</c:v>
                </c:pt>
                <c:pt idx="2">
                  <c:v>-0.30104302614689882</c:v>
                </c:pt>
                <c:pt idx="3">
                  <c:v>-0.30104302614689882</c:v>
                </c:pt>
                <c:pt idx="4">
                  <c:v>-0.30104302614689882</c:v>
                </c:pt>
                <c:pt idx="5">
                  <c:v>-0.30104302614689882</c:v>
                </c:pt>
                <c:pt idx="6">
                  <c:v>-0.30104302614689882</c:v>
                </c:pt>
                <c:pt idx="7">
                  <c:v>-0.30104302614689882</c:v>
                </c:pt>
              </c:numCache>
            </c:numRef>
          </c:val>
          <c:extLst>
            <c:ext xmlns:c16="http://schemas.microsoft.com/office/drawing/2014/chart" uri="{C3380CC4-5D6E-409C-BE32-E72D297353CC}">
              <c16:uniqueId val="{00000000-5438-F04E-BB2B-A8674E0AA6EA}"/>
            </c:ext>
          </c:extLst>
        </c:ser>
        <c:ser>
          <c:idx val="1"/>
          <c:order val="1"/>
          <c:invertIfNegative val="0"/>
          <c:val>
            <c:numRef>
              <c:f>'EU MDM-832'!$AC$71:$AJ$71</c:f>
              <c:numCache>
                <c:formatCode>General</c:formatCode>
                <c:ptCount val="8"/>
                <c:pt idx="0">
                  <c:v>#N/A</c:v>
                </c:pt>
                <c:pt idx="1">
                  <c:v>#N/A</c:v>
                </c:pt>
                <c:pt idx="2">
                  <c:v>#N/A</c:v>
                </c:pt>
                <c:pt idx="3">
                  <c:v>#N/A</c:v>
                </c:pt>
                <c:pt idx="4">
                  <c:v>#N/A</c:v>
                </c:pt>
                <c:pt idx="5">
                  <c:v>#N/A</c:v>
                </c:pt>
                <c:pt idx="6">
                  <c:v>#N/A</c:v>
                </c:pt>
                <c:pt idx="7">
                  <c:v>#N/A</c:v>
                </c:pt>
              </c:numCache>
            </c:numRef>
          </c:val>
          <c:extLst>
            <c:ext xmlns:c16="http://schemas.microsoft.com/office/drawing/2014/chart" uri="{C3380CC4-5D6E-409C-BE32-E72D297353CC}">
              <c16:uniqueId val="{00000001-5438-F04E-BB2B-A8674E0AA6EA}"/>
            </c:ext>
          </c:extLst>
        </c:ser>
        <c:dLbls>
          <c:showLegendKey val="0"/>
          <c:showVal val="0"/>
          <c:showCatName val="0"/>
          <c:showSerName val="0"/>
          <c:showPercent val="0"/>
          <c:showBubbleSize val="0"/>
        </c:dLbls>
        <c:gapWidth val="0"/>
        <c:overlap val="100"/>
        <c:axId val="-24777200"/>
        <c:axId val="-24760048"/>
      </c:barChart>
      <c:catAx>
        <c:axId val="-24777200"/>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24760048"/>
        <c:crosses val="autoZero"/>
        <c:auto val="1"/>
        <c:lblAlgn val="ctr"/>
        <c:lblOffset val="100"/>
        <c:noMultiLvlLbl val="0"/>
      </c:catAx>
      <c:valAx>
        <c:axId val="-24760048"/>
        <c:scaling>
          <c:orientation val="minMax"/>
          <c:max val="0"/>
          <c:min val="-1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24777200"/>
        <c:crosses val="autoZero"/>
        <c:crossBetween val="between"/>
      </c:valAx>
      <c:spPr>
        <a:noFill/>
        <a:ln w="25400">
          <a:noFill/>
        </a:ln>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solidFill>
                  <a:srgbClr val="FFFFFF"/>
                </a:solidFill>
              </a:defRPr>
            </a:pPr>
            <a:r>
              <a:rPr lang="en-US" sz="1200">
                <a:solidFill>
                  <a:srgbClr val="FFFFFF"/>
                </a:solidFill>
              </a:rPr>
              <a:t>Output Breaker</a:t>
            </a:r>
            <a:r>
              <a:rPr lang="en-US" sz="1200" baseline="0">
                <a:solidFill>
                  <a:srgbClr val="FFFFFF"/>
                </a:solidFill>
              </a:rPr>
              <a:t> load</a:t>
            </a:r>
          </a:p>
          <a:p>
            <a:pPr>
              <a:defRPr>
                <a:solidFill>
                  <a:srgbClr val="FFFFFF"/>
                </a:solidFill>
              </a:defRPr>
            </a:pPr>
            <a:r>
              <a:rPr lang="en-US" sz="1200" baseline="0">
                <a:solidFill>
                  <a:srgbClr val="FFFFFF"/>
                </a:solidFill>
              </a:rPr>
              <a:t>MLTC in %</a:t>
            </a:r>
            <a:endParaRPr lang="en-US" sz="1200">
              <a:solidFill>
                <a:srgbClr val="FFFFFF"/>
              </a:solidFill>
            </a:endParaRPr>
          </a:p>
        </c:rich>
      </c:tx>
      <c:layout>
        <c:manualLayout>
          <c:xMode val="edge"/>
          <c:yMode val="edge"/>
          <c:x val="0.14250039109349699"/>
          <c:y val="1.44578313253012E-2"/>
        </c:manualLayout>
      </c:layout>
      <c:overlay val="0"/>
    </c:title>
    <c:autoTitleDeleted val="0"/>
    <c:plotArea>
      <c:layout>
        <c:manualLayout>
          <c:layoutTarget val="inner"/>
          <c:xMode val="edge"/>
          <c:yMode val="edge"/>
          <c:x val="0.20848255723001499"/>
          <c:y val="0.218795180722892"/>
          <c:w val="0.70542472753819696"/>
          <c:h val="0.65905246181576704"/>
        </c:manualLayout>
      </c:layout>
      <c:barChart>
        <c:barDir val="col"/>
        <c:grouping val="stacked"/>
        <c:varyColors val="0"/>
        <c:ser>
          <c:idx val="0"/>
          <c:order val="0"/>
          <c:invertIfNegative val="0"/>
          <c:dLbls>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MDM-832'!$Y$70:$Z$70</c:f>
              <c:numCache>
                <c:formatCode>General</c:formatCode>
                <c:ptCount val="2"/>
                <c:pt idx="0">
                  <c:v>29.333333333333336</c:v>
                </c:pt>
                <c:pt idx="1">
                  <c:v>29.333333333333336</c:v>
                </c:pt>
              </c:numCache>
            </c:numRef>
          </c:val>
          <c:extLst>
            <c:ext xmlns:c16="http://schemas.microsoft.com/office/drawing/2014/chart" uri="{C3380CC4-5D6E-409C-BE32-E72D297353CC}">
              <c16:uniqueId val="{00000000-395E-EE40-A8EA-607214E216F6}"/>
            </c:ext>
          </c:extLst>
        </c:ser>
        <c:ser>
          <c:idx val="1"/>
          <c:order val="1"/>
          <c:invertIfNegative val="0"/>
          <c:val>
            <c:numRef>
              <c:f>'EU MDM-832'!$Y$71:$Z$71</c:f>
              <c:numCache>
                <c:formatCode>General</c:formatCode>
                <c:ptCount val="2"/>
                <c:pt idx="0">
                  <c:v>#N/A</c:v>
                </c:pt>
                <c:pt idx="1">
                  <c:v>#N/A</c:v>
                </c:pt>
              </c:numCache>
            </c:numRef>
          </c:val>
          <c:extLst>
            <c:ext xmlns:c16="http://schemas.microsoft.com/office/drawing/2014/chart" uri="{C3380CC4-5D6E-409C-BE32-E72D297353CC}">
              <c16:uniqueId val="{00000001-395E-EE40-A8EA-607214E216F6}"/>
            </c:ext>
          </c:extLst>
        </c:ser>
        <c:dLbls>
          <c:showLegendKey val="0"/>
          <c:showVal val="0"/>
          <c:showCatName val="0"/>
          <c:showSerName val="0"/>
          <c:showPercent val="0"/>
          <c:showBubbleSize val="0"/>
        </c:dLbls>
        <c:gapWidth val="15"/>
        <c:overlap val="100"/>
        <c:axId val="-24903408"/>
        <c:axId val="-24901360"/>
      </c:barChart>
      <c:catAx>
        <c:axId val="-24903408"/>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24901360"/>
        <c:crosses val="autoZero"/>
        <c:auto val="1"/>
        <c:lblAlgn val="ctr"/>
        <c:lblOffset val="100"/>
        <c:noMultiLvlLbl val="0"/>
      </c:catAx>
      <c:valAx>
        <c:axId val="-24901360"/>
        <c:scaling>
          <c:orientation val="minMax"/>
          <c:max val="12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24903408"/>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barChart>
        <c:barDir val="col"/>
        <c:grouping val="clustered"/>
        <c:varyColors val="0"/>
        <c:ser>
          <c:idx val="0"/>
          <c:order val="0"/>
          <c:spPr>
            <a:solidFill>
              <a:schemeClr val="bg2">
                <a:lumMod val="75000"/>
              </a:schemeClr>
            </a:solidFill>
          </c:spPr>
          <c:invertIfNegative val="0"/>
          <c:cat>
            <c:strRef>
              <c:f>'Master EU'!$Q$6:$S$6</c:f>
              <c:strCache>
                <c:ptCount val="3"/>
                <c:pt idx="0">
                  <c:v>L1</c:v>
                </c:pt>
                <c:pt idx="1">
                  <c:v>L2</c:v>
                </c:pt>
                <c:pt idx="2">
                  <c:v>L3</c:v>
                </c:pt>
              </c:strCache>
            </c:strRef>
          </c:cat>
          <c:val>
            <c:numRef>
              <c:f>'Master EU'!$AB$7:$AD$7</c:f>
              <c:numCache>
                <c:formatCode>General</c:formatCode>
                <c:ptCount val="3"/>
                <c:pt idx="0">
                  <c:v>2.8529301865260903</c:v>
                </c:pt>
                <c:pt idx="1">
                  <c:v>2.8572660350718357</c:v>
                </c:pt>
                <c:pt idx="2">
                  <c:v>2.8572660350718357</c:v>
                </c:pt>
              </c:numCache>
            </c:numRef>
          </c:val>
          <c:extLst>
            <c:ext xmlns:c16="http://schemas.microsoft.com/office/drawing/2014/chart" uri="{C3380CC4-5D6E-409C-BE32-E72D297353CC}">
              <c16:uniqueId val="{00000000-C61D-5749-B34B-7022150AE035}"/>
            </c:ext>
          </c:extLst>
        </c:ser>
        <c:dLbls>
          <c:showLegendKey val="0"/>
          <c:showVal val="0"/>
          <c:showCatName val="0"/>
          <c:showSerName val="0"/>
          <c:showPercent val="0"/>
          <c:showBubbleSize val="0"/>
        </c:dLbls>
        <c:gapWidth val="50"/>
        <c:axId val="626870208"/>
        <c:axId val="-24531616"/>
      </c:barChart>
      <c:catAx>
        <c:axId val="626870208"/>
        <c:scaling>
          <c:orientation val="minMax"/>
        </c:scaling>
        <c:delete val="0"/>
        <c:axPos val="b"/>
        <c:numFmt formatCode="General" sourceLinked="0"/>
        <c:majorTickMark val="out"/>
        <c:minorTickMark val="none"/>
        <c:tickLblPos val="nextTo"/>
        <c:txPr>
          <a:bodyPr/>
          <a:lstStyle/>
          <a:p>
            <a:pPr>
              <a:defRPr sz="1200">
                <a:solidFill>
                  <a:schemeClr val="bg1"/>
                </a:solidFill>
              </a:defRPr>
            </a:pPr>
            <a:endParaRPr lang="en-CH"/>
          </a:p>
        </c:txPr>
        <c:crossAx val="-24531616"/>
        <c:crosses val="autoZero"/>
        <c:auto val="1"/>
        <c:lblAlgn val="ctr"/>
        <c:lblOffset val="100"/>
        <c:noMultiLvlLbl val="0"/>
      </c:catAx>
      <c:valAx>
        <c:axId val="-24531616"/>
        <c:scaling>
          <c:orientation val="minMax"/>
          <c:max val="4"/>
          <c:min val="2"/>
        </c:scaling>
        <c:delete val="0"/>
        <c:axPos val="l"/>
        <c:majorGridlines/>
        <c:numFmt formatCode="General" sourceLinked="1"/>
        <c:majorTickMark val="out"/>
        <c:minorTickMark val="none"/>
        <c:tickLblPos val="nextTo"/>
        <c:txPr>
          <a:bodyPr/>
          <a:lstStyle/>
          <a:p>
            <a:pPr>
              <a:defRPr>
                <a:solidFill>
                  <a:schemeClr val="bg1"/>
                </a:solidFill>
              </a:defRPr>
            </a:pPr>
            <a:endParaRPr lang="en-CH"/>
          </a:p>
        </c:txPr>
        <c:crossAx val="626870208"/>
        <c:crosses val="autoZero"/>
        <c:crossBetween val="between"/>
      </c:valAx>
      <c:spPr>
        <a:noFill/>
        <a:ln>
          <a:noFill/>
        </a:ln>
      </c:spPr>
    </c:plotArea>
    <c:plotVisOnly val="0"/>
    <c:dispBlanksAs val="gap"/>
    <c:showDLblsOverMax val="0"/>
  </c:chart>
  <c:spPr>
    <a:noFill/>
    <a:ln>
      <a:noFill/>
    </a:ln>
  </c:spPr>
  <c:printSettings>
    <c:headerFooter/>
    <c:pageMargins b="1" l="0.75" r="0.75" t="1" header="0.5" footer="0.5"/>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lrMapOvr bg1="lt1" tx1="dk1" bg2="lt2" tx2="dk2" accent1="accent1" accent2="accent2" accent3="accent3" accent4="accent4" accent5="accent5" accent6="accent6" hlink="hlink" folHlink="folHlink"/>
  <c:chart>
    <c:title>
      <c:tx>
        <c:rich>
          <a:bodyPr/>
          <a:lstStyle/>
          <a:p>
            <a:pPr>
              <a:defRPr sz="1200">
                <a:solidFill>
                  <a:schemeClr val="bg1"/>
                </a:solidFill>
              </a:defRPr>
            </a:pPr>
            <a:r>
              <a:rPr lang="en-US" sz="1200">
                <a:solidFill>
                  <a:schemeClr val="bg1"/>
                </a:solidFill>
              </a:rPr>
              <a:t>Breaker 1 branches</a:t>
            </a:r>
          </a:p>
        </c:rich>
      </c:tx>
      <c:overlay val="0"/>
    </c:title>
    <c:autoTitleDeleted val="0"/>
    <c:plotArea>
      <c:layout/>
      <c:pieChart>
        <c:varyColors val="1"/>
        <c:ser>
          <c:idx val="0"/>
          <c:order val="0"/>
          <c:spPr>
            <a:ln>
              <a:solidFill>
                <a:schemeClr val="tx1">
                  <a:lumMod val="75000"/>
                  <a:lumOff val="25000"/>
                  <a:alpha val="0"/>
                </a:schemeClr>
              </a:solidFill>
            </a:ln>
          </c:spPr>
          <c:dPt>
            <c:idx val="0"/>
            <c:bubble3D val="0"/>
            <c:spPr>
              <a:solidFill>
                <a:schemeClr val="accent1">
                  <a:lumMod val="75000"/>
                </a:schemeClr>
              </a:solidFill>
              <a:ln>
                <a:solidFill>
                  <a:schemeClr val="tx1">
                    <a:lumMod val="75000"/>
                    <a:lumOff val="25000"/>
                    <a:alpha val="0"/>
                  </a:schemeClr>
                </a:solidFill>
              </a:ln>
            </c:spPr>
            <c:extLst>
              <c:ext xmlns:c16="http://schemas.microsoft.com/office/drawing/2014/chart" uri="{C3380CC4-5D6E-409C-BE32-E72D297353CC}">
                <c16:uniqueId val="{00000001-9BA6-C249-8136-5C9F21F1DB16}"/>
              </c:ext>
            </c:extLst>
          </c:dPt>
          <c:dPt>
            <c:idx val="1"/>
            <c:bubble3D val="0"/>
            <c:spPr>
              <a:solidFill>
                <a:schemeClr val="accent1">
                  <a:lumMod val="60000"/>
                  <a:lumOff val="40000"/>
                </a:schemeClr>
              </a:solidFill>
              <a:ln>
                <a:solidFill>
                  <a:schemeClr val="tx1">
                    <a:lumMod val="75000"/>
                    <a:lumOff val="25000"/>
                    <a:alpha val="0"/>
                  </a:schemeClr>
                </a:solidFill>
              </a:ln>
            </c:spPr>
            <c:extLst>
              <c:ext xmlns:c16="http://schemas.microsoft.com/office/drawing/2014/chart" uri="{C3380CC4-5D6E-409C-BE32-E72D297353CC}">
                <c16:uniqueId val="{00000003-9BA6-C249-8136-5C9F21F1DB16}"/>
              </c:ext>
            </c:extLst>
          </c:dPt>
          <c:dPt>
            <c:idx val="2"/>
            <c:bubble3D val="0"/>
            <c:spPr>
              <a:solidFill>
                <a:schemeClr val="accent1">
                  <a:lumMod val="40000"/>
                  <a:lumOff val="60000"/>
                </a:schemeClr>
              </a:solidFill>
              <a:ln>
                <a:solidFill>
                  <a:schemeClr val="tx1">
                    <a:lumMod val="75000"/>
                    <a:lumOff val="25000"/>
                    <a:alpha val="0"/>
                  </a:schemeClr>
                </a:solidFill>
              </a:ln>
            </c:spPr>
            <c:extLst>
              <c:ext xmlns:c16="http://schemas.microsoft.com/office/drawing/2014/chart" uri="{C3380CC4-5D6E-409C-BE32-E72D297353CC}">
                <c16:uniqueId val="{00000005-9BA6-C249-8136-5C9F21F1DB16}"/>
              </c:ext>
            </c:extLst>
          </c:dPt>
          <c:dPt>
            <c:idx val="3"/>
            <c:bubble3D val="0"/>
            <c:spPr>
              <a:solidFill>
                <a:schemeClr val="accent1">
                  <a:lumMod val="20000"/>
                  <a:lumOff val="80000"/>
                </a:schemeClr>
              </a:solidFill>
              <a:ln>
                <a:solidFill>
                  <a:schemeClr val="tx1">
                    <a:lumMod val="75000"/>
                    <a:lumOff val="25000"/>
                    <a:alpha val="0"/>
                  </a:schemeClr>
                </a:solidFill>
              </a:ln>
            </c:spPr>
            <c:extLst>
              <c:ext xmlns:c16="http://schemas.microsoft.com/office/drawing/2014/chart" uri="{C3380CC4-5D6E-409C-BE32-E72D297353CC}">
                <c16:uniqueId val="{00000007-9BA6-C249-8136-5C9F21F1DB16}"/>
              </c:ext>
            </c:extLst>
          </c:dPt>
          <c:dLbls>
            <c:spPr>
              <a:noFill/>
              <a:ln>
                <a:noFill/>
              </a:ln>
              <a:effectLst/>
            </c:spPr>
            <c:txPr>
              <a:bodyPr/>
              <a:lstStyle/>
              <a:p>
                <a:pPr>
                  <a:defRPr sz="1200" b="1" i="1">
                    <a:solidFill>
                      <a:srgbClr val="404040"/>
                    </a:solidFill>
                  </a:defRPr>
                </a:pPr>
                <a:endParaRPr lang="en-CH"/>
              </a:p>
            </c:txPr>
            <c:showLegendKey val="0"/>
            <c:showVal val="0"/>
            <c:showCatName val="1"/>
            <c:showSerName val="0"/>
            <c:showPercent val="1"/>
            <c:showBubbleSize val="0"/>
            <c:showLeaderLines val="1"/>
            <c:extLst>
              <c:ext xmlns:c15="http://schemas.microsoft.com/office/drawing/2012/chart" uri="{CE6537A1-D6FC-4f65-9D91-7224C49458BB}"/>
            </c:extLst>
          </c:dLbls>
          <c:cat>
            <c:numRef>
              <c:f>('EU MDM-832'!$D$8,'EU MDM-832'!$F$8,'EU MDM-832'!$H$8,'EU MDM-832'!$J$8)</c:f>
              <c:numCache>
                <c:formatCode>General</c:formatCode>
                <c:ptCount val="4"/>
                <c:pt idx="0">
                  <c:v>1</c:v>
                </c:pt>
                <c:pt idx="1">
                  <c:v>2</c:v>
                </c:pt>
                <c:pt idx="2">
                  <c:v>3</c:v>
                </c:pt>
                <c:pt idx="3">
                  <c:v>4</c:v>
                </c:pt>
              </c:numCache>
            </c:numRef>
          </c:cat>
          <c:val>
            <c:numRef>
              <c:f>('EU MDM-832'!$D$52,'EU MDM-832'!$F$52,'EU MDM-832'!$H$52,'EU MDM-832'!$J$52)</c:f>
              <c:numCache>
                <c:formatCode>0.0</c:formatCode>
                <c:ptCount val="4"/>
                <c:pt idx="0">
                  <c:v>1.1000000000000001</c:v>
                </c:pt>
                <c:pt idx="1">
                  <c:v>1.1000000000000001</c:v>
                </c:pt>
                <c:pt idx="2">
                  <c:v>1.1000000000000001</c:v>
                </c:pt>
                <c:pt idx="3">
                  <c:v>1.1000000000000001</c:v>
                </c:pt>
              </c:numCache>
            </c:numRef>
          </c:val>
          <c:extLst>
            <c:ext xmlns:c16="http://schemas.microsoft.com/office/drawing/2014/chart" uri="{C3380CC4-5D6E-409C-BE32-E72D297353CC}">
              <c16:uniqueId val="{00000008-9BA6-C249-8136-5C9F21F1DB16}"/>
            </c:ext>
          </c:extLst>
        </c:ser>
        <c:dLbls>
          <c:showLegendKey val="0"/>
          <c:showVal val="0"/>
          <c:showCatName val="0"/>
          <c:showSerName val="0"/>
          <c:showPercent val="1"/>
          <c:showBubbleSize val="0"/>
          <c:showLeaderLines val="1"/>
        </c:dLbls>
        <c:firstSliceAng val="0"/>
      </c:pieChart>
    </c:plotArea>
    <c:plotVisOnly val="1"/>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lrMapOvr bg1="lt1" tx1="dk1" bg2="lt2" tx2="dk2" accent1="accent1" accent2="accent2" accent3="accent3" accent4="accent4" accent5="accent5" accent6="accent6" hlink="hlink" folHlink="folHlink"/>
  <c:chart>
    <c:title>
      <c:tx>
        <c:rich>
          <a:bodyPr/>
          <a:lstStyle/>
          <a:p>
            <a:pPr>
              <a:defRPr/>
            </a:pPr>
            <a:r>
              <a:rPr lang="en-US" sz="1200">
                <a:solidFill>
                  <a:schemeClr val="bg1"/>
                </a:solidFill>
              </a:rPr>
              <a:t>Breaker 2 branches</a:t>
            </a:r>
          </a:p>
        </c:rich>
      </c:tx>
      <c:overlay val="0"/>
    </c:title>
    <c:autoTitleDeleted val="0"/>
    <c:plotArea>
      <c:layout/>
      <c:pieChart>
        <c:varyColors val="1"/>
        <c:ser>
          <c:idx val="0"/>
          <c:order val="0"/>
          <c:spPr>
            <a:ln>
              <a:solidFill>
                <a:schemeClr val="tx1">
                  <a:lumMod val="75000"/>
                  <a:lumOff val="25000"/>
                  <a:alpha val="0"/>
                </a:schemeClr>
              </a:solidFill>
            </a:ln>
          </c:spPr>
          <c:dPt>
            <c:idx val="0"/>
            <c:bubble3D val="0"/>
            <c:spPr>
              <a:solidFill>
                <a:schemeClr val="accent1">
                  <a:lumMod val="75000"/>
                </a:schemeClr>
              </a:solidFill>
              <a:ln>
                <a:solidFill>
                  <a:schemeClr val="tx1">
                    <a:lumMod val="75000"/>
                    <a:lumOff val="25000"/>
                    <a:alpha val="0"/>
                  </a:schemeClr>
                </a:solidFill>
              </a:ln>
            </c:spPr>
            <c:extLst>
              <c:ext xmlns:c16="http://schemas.microsoft.com/office/drawing/2014/chart" uri="{C3380CC4-5D6E-409C-BE32-E72D297353CC}">
                <c16:uniqueId val="{00000001-0E01-EE46-8D37-7D41B6035732}"/>
              </c:ext>
            </c:extLst>
          </c:dPt>
          <c:dPt>
            <c:idx val="1"/>
            <c:bubble3D val="0"/>
            <c:spPr>
              <a:solidFill>
                <a:schemeClr val="accent1">
                  <a:lumMod val="60000"/>
                  <a:lumOff val="40000"/>
                </a:schemeClr>
              </a:solidFill>
              <a:ln>
                <a:solidFill>
                  <a:schemeClr val="tx1">
                    <a:lumMod val="75000"/>
                    <a:lumOff val="25000"/>
                    <a:alpha val="0"/>
                  </a:schemeClr>
                </a:solidFill>
              </a:ln>
            </c:spPr>
            <c:extLst>
              <c:ext xmlns:c16="http://schemas.microsoft.com/office/drawing/2014/chart" uri="{C3380CC4-5D6E-409C-BE32-E72D297353CC}">
                <c16:uniqueId val="{00000003-0E01-EE46-8D37-7D41B6035732}"/>
              </c:ext>
            </c:extLst>
          </c:dPt>
          <c:dPt>
            <c:idx val="2"/>
            <c:bubble3D val="0"/>
            <c:spPr>
              <a:solidFill>
                <a:schemeClr val="accent1">
                  <a:lumMod val="40000"/>
                  <a:lumOff val="60000"/>
                </a:schemeClr>
              </a:solidFill>
              <a:ln>
                <a:solidFill>
                  <a:schemeClr val="tx1">
                    <a:lumMod val="75000"/>
                    <a:lumOff val="25000"/>
                    <a:alpha val="0"/>
                  </a:schemeClr>
                </a:solidFill>
              </a:ln>
            </c:spPr>
            <c:extLst>
              <c:ext xmlns:c16="http://schemas.microsoft.com/office/drawing/2014/chart" uri="{C3380CC4-5D6E-409C-BE32-E72D297353CC}">
                <c16:uniqueId val="{00000005-0E01-EE46-8D37-7D41B6035732}"/>
              </c:ext>
            </c:extLst>
          </c:dPt>
          <c:dPt>
            <c:idx val="3"/>
            <c:bubble3D val="0"/>
            <c:spPr>
              <a:solidFill>
                <a:schemeClr val="accent1">
                  <a:lumMod val="20000"/>
                  <a:lumOff val="80000"/>
                </a:schemeClr>
              </a:solidFill>
              <a:ln>
                <a:solidFill>
                  <a:schemeClr val="tx1">
                    <a:lumMod val="75000"/>
                    <a:lumOff val="25000"/>
                    <a:alpha val="0"/>
                  </a:schemeClr>
                </a:solidFill>
              </a:ln>
            </c:spPr>
            <c:extLst>
              <c:ext xmlns:c16="http://schemas.microsoft.com/office/drawing/2014/chart" uri="{C3380CC4-5D6E-409C-BE32-E72D297353CC}">
                <c16:uniqueId val="{00000007-0E01-EE46-8D37-7D41B6035732}"/>
              </c:ext>
            </c:extLst>
          </c:dPt>
          <c:dLbls>
            <c:spPr>
              <a:noFill/>
              <a:ln>
                <a:noFill/>
              </a:ln>
              <a:effectLst/>
            </c:spPr>
            <c:txPr>
              <a:bodyPr/>
              <a:lstStyle/>
              <a:p>
                <a:pPr>
                  <a:defRPr sz="1200" b="1" i="1">
                    <a:solidFill>
                      <a:srgbClr val="404040"/>
                    </a:solidFill>
                  </a:defRPr>
                </a:pPr>
                <a:endParaRPr lang="en-CH"/>
              </a:p>
            </c:txPr>
            <c:showLegendKey val="0"/>
            <c:showVal val="0"/>
            <c:showCatName val="1"/>
            <c:showSerName val="0"/>
            <c:showPercent val="1"/>
            <c:showBubbleSize val="0"/>
            <c:showLeaderLines val="1"/>
            <c:extLst>
              <c:ext xmlns:c15="http://schemas.microsoft.com/office/drawing/2012/chart" uri="{CE6537A1-D6FC-4f65-9D91-7224C49458BB}"/>
            </c:extLst>
          </c:dLbls>
          <c:cat>
            <c:numRef>
              <c:f>('EU MDM-832'!$L$8,'EU MDM-832'!$N$8,'EU MDM-832'!$P$8,'EU MDM-832'!$R$8)</c:f>
              <c:numCache>
                <c:formatCode>General</c:formatCode>
                <c:ptCount val="4"/>
                <c:pt idx="0">
                  <c:v>5</c:v>
                </c:pt>
                <c:pt idx="1">
                  <c:v>6</c:v>
                </c:pt>
                <c:pt idx="2">
                  <c:v>7</c:v>
                </c:pt>
                <c:pt idx="3">
                  <c:v>8</c:v>
                </c:pt>
              </c:numCache>
            </c:numRef>
          </c:cat>
          <c:val>
            <c:numRef>
              <c:f>('EU MDM-832'!$L$52,'EU MDM-832'!$N$52,'EU MDM-832'!$P$52,'EU MDM-832'!$R$52)</c:f>
              <c:numCache>
                <c:formatCode>0.0</c:formatCode>
                <c:ptCount val="4"/>
                <c:pt idx="0">
                  <c:v>1.1000000000000001</c:v>
                </c:pt>
                <c:pt idx="1">
                  <c:v>1.1000000000000001</c:v>
                </c:pt>
                <c:pt idx="2">
                  <c:v>1.1000000000000001</c:v>
                </c:pt>
                <c:pt idx="3">
                  <c:v>1.1000000000000001</c:v>
                </c:pt>
              </c:numCache>
            </c:numRef>
          </c:val>
          <c:extLst>
            <c:ext xmlns:c16="http://schemas.microsoft.com/office/drawing/2014/chart" uri="{C3380CC4-5D6E-409C-BE32-E72D297353CC}">
              <c16:uniqueId val="{00000008-0E01-EE46-8D37-7D41B6035732}"/>
            </c:ext>
          </c:extLst>
        </c:ser>
        <c:dLbls>
          <c:showLegendKey val="0"/>
          <c:showVal val="0"/>
          <c:showCatName val="0"/>
          <c:showSerName val="0"/>
          <c:showPercent val="1"/>
          <c:showBubbleSize val="0"/>
          <c:showLeaderLines val="1"/>
        </c:dLbls>
        <c:firstSliceAng val="0"/>
      </c:pieChart>
    </c:plotArea>
    <c:plotVisOnly val="1"/>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lIns="2">
            <a:spAutoFit/>
          </a:bodyPr>
          <a:lstStyle/>
          <a:p>
            <a:pPr>
              <a:defRPr sz="1200">
                <a:solidFill>
                  <a:srgbClr val="FFFFFF"/>
                </a:solidFill>
              </a:defRPr>
            </a:pPr>
            <a:r>
              <a:rPr lang="en-US" sz="1200">
                <a:solidFill>
                  <a:srgbClr val="FFFFFF"/>
                </a:solidFill>
              </a:rPr>
              <a:t>Inlet</a:t>
            </a:r>
            <a:r>
              <a:rPr lang="en-US" sz="1200" baseline="0">
                <a:solidFill>
                  <a:srgbClr val="FFFFFF"/>
                </a:solidFill>
              </a:rPr>
              <a:t> Usage </a:t>
            </a:r>
          </a:p>
          <a:p>
            <a:pPr>
              <a:defRPr sz="1200">
                <a:solidFill>
                  <a:srgbClr val="FFFFFF"/>
                </a:solidFill>
              </a:defRPr>
            </a:pPr>
            <a:r>
              <a:rPr lang="en-US" sz="1200" baseline="0">
                <a:solidFill>
                  <a:srgbClr val="FFFFFF"/>
                </a:solidFill>
              </a:rPr>
              <a:t>MLTC +30% in %</a:t>
            </a:r>
          </a:p>
        </c:rich>
      </c:tx>
      <c:layout>
        <c:manualLayout>
          <c:xMode val="edge"/>
          <c:yMode val="edge"/>
          <c:x val="0.14041013351591899"/>
          <c:y val="4.8076923076923097E-3"/>
        </c:manualLayout>
      </c:layout>
      <c:overlay val="0"/>
    </c:title>
    <c:autoTitleDeleted val="0"/>
    <c:plotArea>
      <c:layout>
        <c:manualLayout>
          <c:layoutTarget val="inner"/>
          <c:xMode val="edge"/>
          <c:yMode val="edge"/>
          <c:x val="0.28618969219756601"/>
          <c:y val="0.172115384615385"/>
          <c:w val="0.59562848962061599"/>
          <c:h val="0.70602589339794097"/>
        </c:manualLayout>
      </c:layout>
      <c:barChart>
        <c:barDir val="col"/>
        <c:grouping val="stacked"/>
        <c:varyColors val="0"/>
        <c:ser>
          <c:idx val="0"/>
          <c:order val="0"/>
          <c:invertIfNegative val="0"/>
          <c:dLbls>
            <c:dLbl>
              <c:idx val="0"/>
              <c:numFmt formatCode="#\ &quot;%&quot;" sourceLinked="0"/>
              <c:spPr>
                <a:noFill/>
                <a:ln>
                  <a:noFill/>
                </a:ln>
                <a:effectLst/>
              </c:spPr>
              <c:txPr>
                <a:bodyPr wrap="square" lIns="38100" tIns="19050" rIns="38100" bIns="19050" anchor="ctr">
                  <a:spAutoFit/>
                </a:bodyPr>
                <a:lstStyle/>
                <a:p>
                  <a:pPr>
                    <a:defRPr/>
                  </a:pPr>
                  <a:endParaRPr lang="en-CH"/>
                </a:p>
              </c:txPr>
              <c:showLegendKey val="0"/>
              <c:showVal val="1"/>
              <c:showCatName val="0"/>
              <c:showSerName val="0"/>
              <c:showPercent val="0"/>
              <c:showBubbleSize val="0"/>
              <c:extLst>
                <c:ext xmlns:c16="http://schemas.microsoft.com/office/drawing/2014/chart" uri="{C3380CC4-5D6E-409C-BE32-E72D297353CC}">
                  <c16:uniqueId val="{00000000-73CB-5349-8397-761C559DA14D}"/>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MDM-832'!$X$108</c:f>
              <c:numCache>
                <c:formatCode>General</c:formatCode>
                <c:ptCount val="1"/>
                <c:pt idx="0">
                  <c:v>35.75</c:v>
                </c:pt>
              </c:numCache>
            </c:numRef>
          </c:val>
          <c:extLst>
            <c:ext xmlns:c16="http://schemas.microsoft.com/office/drawing/2014/chart" uri="{C3380CC4-5D6E-409C-BE32-E72D297353CC}">
              <c16:uniqueId val="{00000001-73CB-5349-8397-761C559DA14D}"/>
            </c:ext>
          </c:extLst>
        </c:ser>
        <c:ser>
          <c:idx val="1"/>
          <c:order val="1"/>
          <c:invertIfNegative val="0"/>
          <c:val>
            <c:numRef>
              <c:f>'EU MDM-832'!$X$109</c:f>
              <c:numCache>
                <c:formatCode>General</c:formatCode>
                <c:ptCount val="1"/>
                <c:pt idx="0">
                  <c:v>#N/A</c:v>
                </c:pt>
              </c:numCache>
            </c:numRef>
          </c:val>
          <c:extLst>
            <c:ext xmlns:c16="http://schemas.microsoft.com/office/drawing/2014/chart" uri="{C3380CC4-5D6E-409C-BE32-E72D297353CC}">
              <c16:uniqueId val="{00000002-73CB-5349-8397-761C559DA14D}"/>
            </c:ext>
          </c:extLst>
        </c:ser>
        <c:dLbls>
          <c:showLegendKey val="0"/>
          <c:showVal val="0"/>
          <c:showCatName val="0"/>
          <c:showSerName val="0"/>
          <c:showPercent val="0"/>
          <c:showBubbleSize val="0"/>
        </c:dLbls>
        <c:gapWidth val="15"/>
        <c:overlap val="100"/>
        <c:axId val="626705152"/>
        <c:axId val="626706928"/>
      </c:barChart>
      <c:catAx>
        <c:axId val="626705152"/>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626706928"/>
        <c:crosses val="autoZero"/>
        <c:auto val="1"/>
        <c:lblAlgn val="ctr"/>
        <c:lblOffset val="100"/>
        <c:noMultiLvlLbl val="0"/>
      </c:catAx>
      <c:valAx>
        <c:axId val="626706928"/>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626705152"/>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rgbClr val="FFFFFF"/>
                </a:solidFill>
              </a:defRPr>
            </a:pPr>
            <a:r>
              <a:rPr lang="en-US" sz="1200">
                <a:solidFill>
                  <a:srgbClr val="FFFFFF"/>
                </a:solidFill>
              </a:rPr>
              <a:t>Cable</a:t>
            </a:r>
            <a:r>
              <a:rPr lang="en-US" sz="1200" baseline="0">
                <a:solidFill>
                  <a:srgbClr val="FFFFFF"/>
                </a:solidFill>
              </a:rPr>
              <a:t> loss %</a:t>
            </a:r>
          </a:p>
        </c:rich>
      </c:tx>
      <c:overlay val="0"/>
    </c:title>
    <c:autoTitleDeleted val="0"/>
    <c:plotArea>
      <c:layout/>
      <c:barChart>
        <c:barDir val="col"/>
        <c:grouping val="stacked"/>
        <c:varyColors val="0"/>
        <c:ser>
          <c:idx val="0"/>
          <c:order val="0"/>
          <c:invertIfNegative val="0"/>
          <c:val>
            <c:numRef>
              <c:f>'EU MDM-832'!$AC$108:$AJ$108</c:f>
              <c:numCache>
                <c:formatCode>General</c:formatCode>
                <c:ptCount val="8"/>
                <c:pt idx="0">
                  <c:v>-0.30104302614689882</c:v>
                </c:pt>
                <c:pt idx="1">
                  <c:v>-0.30104302614689882</c:v>
                </c:pt>
                <c:pt idx="2">
                  <c:v>-0.30104302614689882</c:v>
                </c:pt>
                <c:pt idx="3">
                  <c:v>-0.30104302614689882</c:v>
                </c:pt>
                <c:pt idx="4">
                  <c:v>-0.30104302614689882</c:v>
                </c:pt>
                <c:pt idx="5">
                  <c:v>-0.30104302614689882</c:v>
                </c:pt>
                <c:pt idx="6">
                  <c:v>-0.30104302614689882</c:v>
                </c:pt>
                <c:pt idx="7">
                  <c:v>-0.30104302614689882</c:v>
                </c:pt>
              </c:numCache>
            </c:numRef>
          </c:val>
          <c:extLst>
            <c:ext xmlns:c16="http://schemas.microsoft.com/office/drawing/2014/chart" uri="{C3380CC4-5D6E-409C-BE32-E72D297353CC}">
              <c16:uniqueId val="{00000000-3EA9-6C46-94D1-DADA99ED5107}"/>
            </c:ext>
          </c:extLst>
        </c:ser>
        <c:ser>
          <c:idx val="1"/>
          <c:order val="1"/>
          <c:invertIfNegative val="0"/>
          <c:val>
            <c:numRef>
              <c:f>'EU MDM-832'!$AC$109:$AJ$109</c:f>
              <c:numCache>
                <c:formatCode>General</c:formatCode>
                <c:ptCount val="8"/>
                <c:pt idx="0">
                  <c:v>#N/A</c:v>
                </c:pt>
                <c:pt idx="1">
                  <c:v>#N/A</c:v>
                </c:pt>
                <c:pt idx="2">
                  <c:v>#N/A</c:v>
                </c:pt>
                <c:pt idx="3">
                  <c:v>#N/A</c:v>
                </c:pt>
                <c:pt idx="4">
                  <c:v>#N/A</c:v>
                </c:pt>
                <c:pt idx="5">
                  <c:v>#N/A</c:v>
                </c:pt>
                <c:pt idx="6">
                  <c:v>#N/A</c:v>
                </c:pt>
                <c:pt idx="7">
                  <c:v>#N/A</c:v>
                </c:pt>
              </c:numCache>
            </c:numRef>
          </c:val>
          <c:extLst>
            <c:ext xmlns:c16="http://schemas.microsoft.com/office/drawing/2014/chart" uri="{C3380CC4-5D6E-409C-BE32-E72D297353CC}">
              <c16:uniqueId val="{00000001-3EA9-6C46-94D1-DADA99ED5107}"/>
            </c:ext>
          </c:extLst>
        </c:ser>
        <c:dLbls>
          <c:showLegendKey val="0"/>
          <c:showVal val="0"/>
          <c:showCatName val="0"/>
          <c:showSerName val="0"/>
          <c:showPercent val="0"/>
          <c:showBubbleSize val="0"/>
        </c:dLbls>
        <c:gapWidth val="0"/>
        <c:overlap val="100"/>
        <c:axId val="-14139664"/>
        <c:axId val="-14137616"/>
      </c:barChart>
      <c:catAx>
        <c:axId val="-14139664"/>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14137616"/>
        <c:crosses val="autoZero"/>
        <c:auto val="1"/>
        <c:lblAlgn val="ctr"/>
        <c:lblOffset val="100"/>
        <c:noMultiLvlLbl val="0"/>
      </c:catAx>
      <c:valAx>
        <c:axId val="-14137616"/>
        <c:scaling>
          <c:orientation val="minMax"/>
          <c:max val="0"/>
          <c:min val="-1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14139664"/>
        <c:crosses val="autoZero"/>
        <c:crossBetween val="between"/>
      </c:valAx>
      <c:spPr>
        <a:noFill/>
        <a:ln w="25400">
          <a:noFill/>
        </a:ln>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solidFill>
                  <a:srgbClr val="FFFFFF"/>
                </a:solidFill>
              </a:defRPr>
            </a:pPr>
            <a:r>
              <a:rPr lang="en-US" sz="1200">
                <a:solidFill>
                  <a:srgbClr val="FFFFFF"/>
                </a:solidFill>
              </a:rPr>
              <a:t>Output Breaker</a:t>
            </a:r>
            <a:r>
              <a:rPr lang="en-US" sz="1200" baseline="0">
                <a:solidFill>
                  <a:srgbClr val="FFFFFF"/>
                </a:solidFill>
              </a:rPr>
              <a:t> load</a:t>
            </a:r>
          </a:p>
          <a:p>
            <a:pPr>
              <a:defRPr>
                <a:solidFill>
                  <a:srgbClr val="FFFFFF"/>
                </a:solidFill>
              </a:defRPr>
            </a:pPr>
            <a:r>
              <a:rPr lang="en-US" sz="1200" baseline="0">
                <a:solidFill>
                  <a:srgbClr val="FFFFFF"/>
                </a:solidFill>
              </a:rPr>
              <a:t>MLTC in %</a:t>
            </a:r>
            <a:endParaRPr lang="en-US" sz="1200">
              <a:solidFill>
                <a:srgbClr val="FFFFFF"/>
              </a:solidFill>
            </a:endParaRPr>
          </a:p>
        </c:rich>
      </c:tx>
      <c:layout>
        <c:manualLayout>
          <c:xMode val="edge"/>
          <c:yMode val="edge"/>
          <c:x val="0.14250039109349699"/>
          <c:y val="1.44578313253012E-2"/>
        </c:manualLayout>
      </c:layout>
      <c:overlay val="0"/>
    </c:title>
    <c:autoTitleDeleted val="0"/>
    <c:plotArea>
      <c:layout>
        <c:manualLayout>
          <c:layoutTarget val="inner"/>
          <c:xMode val="edge"/>
          <c:yMode val="edge"/>
          <c:x val="0.20848255723001499"/>
          <c:y val="0.218795180722892"/>
          <c:w val="0.70542472753819696"/>
          <c:h val="0.65905246181576704"/>
        </c:manualLayout>
      </c:layout>
      <c:barChart>
        <c:barDir val="col"/>
        <c:grouping val="stacked"/>
        <c:varyColors val="0"/>
        <c:ser>
          <c:idx val="0"/>
          <c:order val="0"/>
          <c:invertIfNegative val="0"/>
          <c:dLbls>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MDM-832'!$Y$108:$Z$108</c:f>
              <c:numCache>
                <c:formatCode>General</c:formatCode>
                <c:ptCount val="2"/>
                <c:pt idx="0">
                  <c:v>29.333333333333336</c:v>
                </c:pt>
                <c:pt idx="1">
                  <c:v>29.333333333333336</c:v>
                </c:pt>
              </c:numCache>
            </c:numRef>
          </c:val>
          <c:extLst>
            <c:ext xmlns:c16="http://schemas.microsoft.com/office/drawing/2014/chart" uri="{C3380CC4-5D6E-409C-BE32-E72D297353CC}">
              <c16:uniqueId val="{00000000-1537-284A-BC6A-5F1E076B5ACA}"/>
            </c:ext>
          </c:extLst>
        </c:ser>
        <c:ser>
          <c:idx val="1"/>
          <c:order val="1"/>
          <c:invertIfNegative val="0"/>
          <c:val>
            <c:numRef>
              <c:f>'EU MDM-832'!$Y$109:$Z$109</c:f>
              <c:numCache>
                <c:formatCode>General</c:formatCode>
                <c:ptCount val="2"/>
                <c:pt idx="0">
                  <c:v>#N/A</c:v>
                </c:pt>
                <c:pt idx="1">
                  <c:v>#N/A</c:v>
                </c:pt>
              </c:numCache>
            </c:numRef>
          </c:val>
          <c:extLst>
            <c:ext xmlns:c16="http://schemas.microsoft.com/office/drawing/2014/chart" uri="{C3380CC4-5D6E-409C-BE32-E72D297353CC}">
              <c16:uniqueId val="{00000001-1537-284A-BC6A-5F1E076B5ACA}"/>
            </c:ext>
          </c:extLst>
        </c:ser>
        <c:dLbls>
          <c:showLegendKey val="0"/>
          <c:showVal val="0"/>
          <c:showCatName val="0"/>
          <c:showSerName val="0"/>
          <c:showPercent val="0"/>
          <c:showBubbleSize val="0"/>
        </c:dLbls>
        <c:gapWidth val="15"/>
        <c:overlap val="100"/>
        <c:axId val="639946096"/>
        <c:axId val="639948416"/>
      </c:barChart>
      <c:catAx>
        <c:axId val="639946096"/>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639948416"/>
        <c:crosses val="autoZero"/>
        <c:auto val="1"/>
        <c:lblAlgn val="ctr"/>
        <c:lblOffset val="100"/>
        <c:noMultiLvlLbl val="0"/>
      </c:catAx>
      <c:valAx>
        <c:axId val="639948416"/>
        <c:scaling>
          <c:orientation val="minMax"/>
          <c:max val="12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639946096"/>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lrMapOvr bg1="lt1" tx1="dk1" bg2="lt2" tx2="dk2" accent1="accent1" accent2="accent2" accent3="accent3" accent4="accent4" accent5="accent5" accent6="accent6" hlink="hlink" folHlink="folHlink"/>
  <c:chart>
    <c:title>
      <c:tx>
        <c:rich>
          <a:bodyPr/>
          <a:lstStyle/>
          <a:p>
            <a:pPr>
              <a:defRPr sz="1200">
                <a:solidFill>
                  <a:schemeClr val="bg1"/>
                </a:solidFill>
              </a:defRPr>
            </a:pPr>
            <a:r>
              <a:rPr lang="en-US" sz="1200">
                <a:solidFill>
                  <a:schemeClr val="bg1"/>
                </a:solidFill>
              </a:rPr>
              <a:t>Breaker 1 branches</a:t>
            </a:r>
          </a:p>
        </c:rich>
      </c:tx>
      <c:overlay val="0"/>
    </c:title>
    <c:autoTitleDeleted val="0"/>
    <c:plotArea>
      <c:layout/>
      <c:pieChart>
        <c:varyColors val="1"/>
        <c:ser>
          <c:idx val="0"/>
          <c:order val="0"/>
          <c:spPr>
            <a:ln>
              <a:solidFill>
                <a:schemeClr val="tx1">
                  <a:lumMod val="75000"/>
                  <a:lumOff val="25000"/>
                  <a:alpha val="0"/>
                </a:schemeClr>
              </a:solidFill>
            </a:ln>
          </c:spPr>
          <c:dPt>
            <c:idx val="0"/>
            <c:bubble3D val="0"/>
            <c:spPr>
              <a:solidFill>
                <a:schemeClr val="accent1">
                  <a:lumMod val="75000"/>
                </a:schemeClr>
              </a:solidFill>
              <a:ln>
                <a:solidFill>
                  <a:schemeClr val="tx1">
                    <a:lumMod val="75000"/>
                    <a:lumOff val="25000"/>
                    <a:alpha val="0"/>
                  </a:schemeClr>
                </a:solidFill>
              </a:ln>
            </c:spPr>
            <c:extLst>
              <c:ext xmlns:c16="http://schemas.microsoft.com/office/drawing/2014/chart" uri="{C3380CC4-5D6E-409C-BE32-E72D297353CC}">
                <c16:uniqueId val="{00000001-2E8F-454B-A28B-C513DDEA1698}"/>
              </c:ext>
            </c:extLst>
          </c:dPt>
          <c:dPt>
            <c:idx val="1"/>
            <c:bubble3D val="0"/>
            <c:spPr>
              <a:solidFill>
                <a:schemeClr val="accent1">
                  <a:lumMod val="60000"/>
                  <a:lumOff val="40000"/>
                </a:schemeClr>
              </a:solidFill>
              <a:ln>
                <a:solidFill>
                  <a:schemeClr val="tx1">
                    <a:lumMod val="75000"/>
                    <a:lumOff val="25000"/>
                    <a:alpha val="0"/>
                  </a:schemeClr>
                </a:solidFill>
              </a:ln>
            </c:spPr>
            <c:extLst>
              <c:ext xmlns:c16="http://schemas.microsoft.com/office/drawing/2014/chart" uri="{C3380CC4-5D6E-409C-BE32-E72D297353CC}">
                <c16:uniqueId val="{00000003-2E8F-454B-A28B-C513DDEA1698}"/>
              </c:ext>
            </c:extLst>
          </c:dPt>
          <c:dPt>
            <c:idx val="2"/>
            <c:bubble3D val="0"/>
            <c:spPr>
              <a:solidFill>
                <a:schemeClr val="accent1">
                  <a:lumMod val="40000"/>
                  <a:lumOff val="60000"/>
                </a:schemeClr>
              </a:solidFill>
              <a:ln>
                <a:solidFill>
                  <a:schemeClr val="tx1">
                    <a:lumMod val="75000"/>
                    <a:lumOff val="25000"/>
                    <a:alpha val="0"/>
                  </a:schemeClr>
                </a:solidFill>
              </a:ln>
            </c:spPr>
            <c:extLst>
              <c:ext xmlns:c16="http://schemas.microsoft.com/office/drawing/2014/chart" uri="{C3380CC4-5D6E-409C-BE32-E72D297353CC}">
                <c16:uniqueId val="{00000005-2E8F-454B-A28B-C513DDEA1698}"/>
              </c:ext>
            </c:extLst>
          </c:dPt>
          <c:dPt>
            <c:idx val="3"/>
            <c:bubble3D val="0"/>
            <c:spPr>
              <a:solidFill>
                <a:schemeClr val="accent1">
                  <a:lumMod val="20000"/>
                  <a:lumOff val="80000"/>
                </a:schemeClr>
              </a:solidFill>
              <a:ln>
                <a:solidFill>
                  <a:schemeClr val="tx1">
                    <a:lumMod val="75000"/>
                    <a:lumOff val="25000"/>
                    <a:alpha val="0"/>
                  </a:schemeClr>
                </a:solidFill>
              </a:ln>
            </c:spPr>
            <c:extLst>
              <c:ext xmlns:c16="http://schemas.microsoft.com/office/drawing/2014/chart" uri="{C3380CC4-5D6E-409C-BE32-E72D297353CC}">
                <c16:uniqueId val="{00000007-2E8F-454B-A28B-C513DDEA1698}"/>
              </c:ext>
            </c:extLst>
          </c:dPt>
          <c:dLbls>
            <c:spPr>
              <a:noFill/>
              <a:ln>
                <a:noFill/>
              </a:ln>
              <a:effectLst/>
            </c:spPr>
            <c:txPr>
              <a:bodyPr/>
              <a:lstStyle/>
              <a:p>
                <a:pPr>
                  <a:defRPr sz="1200" b="1" i="1">
                    <a:solidFill>
                      <a:srgbClr val="404040"/>
                    </a:solidFill>
                  </a:defRPr>
                </a:pPr>
                <a:endParaRPr lang="en-CH"/>
              </a:p>
            </c:txPr>
            <c:showLegendKey val="0"/>
            <c:showVal val="0"/>
            <c:showCatName val="1"/>
            <c:showSerName val="0"/>
            <c:showPercent val="1"/>
            <c:showBubbleSize val="0"/>
            <c:showLeaderLines val="1"/>
            <c:extLst>
              <c:ext xmlns:c15="http://schemas.microsoft.com/office/drawing/2012/chart" uri="{CE6537A1-D6FC-4f65-9D91-7224C49458BB}"/>
            </c:extLst>
          </c:dLbls>
          <c:cat>
            <c:numRef>
              <c:f>('EU MDM-832'!$D$8,'EU MDM-832'!$F$8,'EU MDM-832'!$H$8,'EU MDM-832'!$J$8)</c:f>
              <c:numCache>
                <c:formatCode>General</c:formatCode>
                <c:ptCount val="4"/>
                <c:pt idx="0">
                  <c:v>1</c:v>
                </c:pt>
                <c:pt idx="1">
                  <c:v>2</c:v>
                </c:pt>
                <c:pt idx="2">
                  <c:v>3</c:v>
                </c:pt>
                <c:pt idx="3">
                  <c:v>4</c:v>
                </c:pt>
              </c:numCache>
            </c:numRef>
          </c:cat>
          <c:val>
            <c:numRef>
              <c:f>('EU MDM-832'!$D$90,'EU MDM-832'!$F$90,'EU MDM-832'!$H$90,'EU MDM-832'!$J$90)</c:f>
              <c:numCache>
                <c:formatCode>0.0</c:formatCode>
                <c:ptCount val="4"/>
                <c:pt idx="0">
                  <c:v>1.1000000000000001</c:v>
                </c:pt>
                <c:pt idx="1">
                  <c:v>1.1000000000000001</c:v>
                </c:pt>
                <c:pt idx="2">
                  <c:v>1.1000000000000001</c:v>
                </c:pt>
                <c:pt idx="3">
                  <c:v>1.1000000000000001</c:v>
                </c:pt>
              </c:numCache>
            </c:numRef>
          </c:val>
          <c:extLst>
            <c:ext xmlns:c16="http://schemas.microsoft.com/office/drawing/2014/chart" uri="{C3380CC4-5D6E-409C-BE32-E72D297353CC}">
              <c16:uniqueId val="{00000008-2E8F-454B-A28B-C513DDEA1698}"/>
            </c:ext>
          </c:extLst>
        </c:ser>
        <c:dLbls>
          <c:showLegendKey val="0"/>
          <c:showVal val="0"/>
          <c:showCatName val="0"/>
          <c:showSerName val="0"/>
          <c:showPercent val="1"/>
          <c:showBubbleSize val="0"/>
          <c:showLeaderLines val="1"/>
        </c:dLbls>
        <c:firstSliceAng val="0"/>
      </c:pieChart>
    </c:plotArea>
    <c:plotVisOnly val="1"/>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lrMapOvr bg1="lt1" tx1="dk1" bg2="lt2" tx2="dk2" accent1="accent1" accent2="accent2" accent3="accent3" accent4="accent4" accent5="accent5" accent6="accent6" hlink="hlink" folHlink="folHlink"/>
  <c:chart>
    <c:title>
      <c:tx>
        <c:rich>
          <a:bodyPr/>
          <a:lstStyle/>
          <a:p>
            <a:pPr>
              <a:defRPr/>
            </a:pPr>
            <a:r>
              <a:rPr lang="en-US" sz="1200">
                <a:solidFill>
                  <a:schemeClr val="bg1"/>
                </a:solidFill>
              </a:rPr>
              <a:t>Breaker 2 branches</a:t>
            </a:r>
          </a:p>
        </c:rich>
      </c:tx>
      <c:overlay val="0"/>
    </c:title>
    <c:autoTitleDeleted val="0"/>
    <c:plotArea>
      <c:layout/>
      <c:pieChart>
        <c:varyColors val="1"/>
        <c:ser>
          <c:idx val="0"/>
          <c:order val="0"/>
          <c:spPr>
            <a:ln>
              <a:solidFill>
                <a:schemeClr val="tx1">
                  <a:lumMod val="75000"/>
                  <a:lumOff val="25000"/>
                  <a:alpha val="0"/>
                </a:schemeClr>
              </a:solidFill>
            </a:ln>
          </c:spPr>
          <c:dPt>
            <c:idx val="0"/>
            <c:bubble3D val="0"/>
            <c:spPr>
              <a:solidFill>
                <a:schemeClr val="accent1">
                  <a:lumMod val="75000"/>
                </a:schemeClr>
              </a:solidFill>
              <a:ln>
                <a:solidFill>
                  <a:schemeClr val="tx1">
                    <a:lumMod val="75000"/>
                    <a:lumOff val="25000"/>
                    <a:alpha val="0"/>
                  </a:schemeClr>
                </a:solidFill>
              </a:ln>
            </c:spPr>
            <c:extLst>
              <c:ext xmlns:c16="http://schemas.microsoft.com/office/drawing/2014/chart" uri="{C3380CC4-5D6E-409C-BE32-E72D297353CC}">
                <c16:uniqueId val="{00000001-9DE9-EA4F-AC7E-D82151A34486}"/>
              </c:ext>
            </c:extLst>
          </c:dPt>
          <c:dPt>
            <c:idx val="1"/>
            <c:bubble3D val="0"/>
            <c:spPr>
              <a:solidFill>
                <a:schemeClr val="accent1">
                  <a:lumMod val="60000"/>
                  <a:lumOff val="40000"/>
                </a:schemeClr>
              </a:solidFill>
              <a:ln>
                <a:solidFill>
                  <a:schemeClr val="tx1">
                    <a:lumMod val="75000"/>
                    <a:lumOff val="25000"/>
                    <a:alpha val="0"/>
                  </a:schemeClr>
                </a:solidFill>
              </a:ln>
            </c:spPr>
            <c:extLst>
              <c:ext xmlns:c16="http://schemas.microsoft.com/office/drawing/2014/chart" uri="{C3380CC4-5D6E-409C-BE32-E72D297353CC}">
                <c16:uniqueId val="{00000003-9DE9-EA4F-AC7E-D82151A34486}"/>
              </c:ext>
            </c:extLst>
          </c:dPt>
          <c:dPt>
            <c:idx val="2"/>
            <c:bubble3D val="0"/>
            <c:spPr>
              <a:solidFill>
                <a:schemeClr val="accent1">
                  <a:lumMod val="40000"/>
                  <a:lumOff val="60000"/>
                </a:schemeClr>
              </a:solidFill>
              <a:ln>
                <a:solidFill>
                  <a:schemeClr val="tx1">
                    <a:lumMod val="75000"/>
                    <a:lumOff val="25000"/>
                    <a:alpha val="0"/>
                  </a:schemeClr>
                </a:solidFill>
              </a:ln>
            </c:spPr>
            <c:extLst>
              <c:ext xmlns:c16="http://schemas.microsoft.com/office/drawing/2014/chart" uri="{C3380CC4-5D6E-409C-BE32-E72D297353CC}">
                <c16:uniqueId val="{00000005-9DE9-EA4F-AC7E-D82151A34486}"/>
              </c:ext>
            </c:extLst>
          </c:dPt>
          <c:dPt>
            <c:idx val="3"/>
            <c:bubble3D val="0"/>
            <c:spPr>
              <a:solidFill>
                <a:schemeClr val="accent1">
                  <a:lumMod val="20000"/>
                  <a:lumOff val="80000"/>
                </a:schemeClr>
              </a:solidFill>
              <a:ln>
                <a:solidFill>
                  <a:schemeClr val="tx1">
                    <a:lumMod val="75000"/>
                    <a:lumOff val="25000"/>
                    <a:alpha val="0"/>
                  </a:schemeClr>
                </a:solidFill>
              </a:ln>
            </c:spPr>
            <c:extLst>
              <c:ext xmlns:c16="http://schemas.microsoft.com/office/drawing/2014/chart" uri="{C3380CC4-5D6E-409C-BE32-E72D297353CC}">
                <c16:uniqueId val="{00000007-9DE9-EA4F-AC7E-D82151A34486}"/>
              </c:ext>
            </c:extLst>
          </c:dPt>
          <c:dLbls>
            <c:spPr>
              <a:noFill/>
              <a:ln>
                <a:noFill/>
              </a:ln>
              <a:effectLst/>
            </c:spPr>
            <c:txPr>
              <a:bodyPr/>
              <a:lstStyle/>
              <a:p>
                <a:pPr>
                  <a:defRPr sz="1200" b="1" i="1">
                    <a:solidFill>
                      <a:srgbClr val="404040"/>
                    </a:solidFill>
                  </a:defRPr>
                </a:pPr>
                <a:endParaRPr lang="en-CH"/>
              </a:p>
            </c:txPr>
            <c:showLegendKey val="0"/>
            <c:showVal val="0"/>
            <c:showCatName val="1"/>
            <c:showSerName val="0"/>
            <c:showPercent val="1"/>
            <c:showBubbleSize val="0"/>
            <c:showLeaderLines val="1"/>
            <c:extLst>
              <c:ext xmlns:c15="http://schemas.microsoft.com/office/drawing/2012/chart" uri="{CE6537A1-D6FC-4f65-9D91-7224C49458BB}"/>
            </c:extLst>
          </c:dLbls>
          <c:cat>
            <c:numRef>
              <c:f>('EU MDM-832'!$L$8,'EU MDM-832'!$N$8,'EU MDM-832'!$P$8,'EU MDM-832'!$R$8)</c:f>
              <c:numCache>
                <c:formatCode>General</c:formatCode>
                <c:ptCount val="4"/>
                <c:pt idx="0">
                  <c:v>5</c:v>
                </c:pt>
                <c:pt idx="1">
                  <c:v>6</c:v>
                </c:pt>
                <c:pt idx="2">
                  <c:v>7</c:v>
                </c:pt>
                <c:pt idx="3">
                  <c:v>8</c:v>
                </c:pt>
              </c:numCache>
            </c:numRef>
          </c:cat>
          <c:val>
            <c:numRef>
              <c:f>('EU MDM-832'!$L$90,'EU MDM-832'!$N$90,'EU MDM-832'!$P$90,'EU MDM-832'!$R$90)</c:f>
              <c:numCache>
                <c:formatCode>0.0</c:formatCode>
                <c:ptCount val="4"/>
                <c:pt idx="0">
                  <c:v>1.1000000000000001</c:v>
                </c:pt>
                <c:pt idx="1">
                  <c:v>1.1000000000000001</c:v>
                </c:pt>
                <c:pt idx="2">
                  <c:v>1.1000000000000001</c:v>
                </c:pt>
                <c:pt idx="3">
                  <c:v>1.1000000000000001</c:v>
                </c:pt>
              </c:numCache>
            </c:numRef>
          </c:val>
          <c:extLst>
            <c:ext xmlns:c16="http://schemas.microsoft.com/office/drawing/2014/chart" uri="{C3380CC4-5D6E-409C-BE32-E72D297353CC}">
              <c16:uniqueId val="{00000008-9DE9-EA4F-AC7E-D82151A34486}"/>
            </c:ext>
          </c:extLst>
        </c:ser>
        <c:dLbls>
          <c:showLegendKey val="0"/>
          <c:showVal val="0"/>
          <c:showCatName val="0"/>
          <c:showSerName val="0"/>
          <c:showPercent val="1"/>
          <c:showBubbleSize val="0"/>
          <c:showLeaderLines val="1"/>
        </c:dLbls>
        <c:firstSliceAng val="0"/>
      </c:pieChart>
    </c:plotArea>
    <c:plotVisOnly val="1"/>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lIns="2">
            <a:spAutoFit/>
          </a:bodyPr>
          <a:lstStyle/>
          <a:p>
            <a:pPr>
              <a:defRPr sz="1200">
                <a:solidFill>
                  <a:srgbClr val="FFFFFF"/>
                </a:solidFill>
              </a:defRPr>
            </a:pPr>
            <a:r>
              <a:rPr lang="en-US" sz="1200">
                <a:solidFill>
                  <a:srgbClr val="FFFFFF"/>
                </a:solidFill>
              </a:rPr>
              <a:t>Inlet</a:t>
            </a:r>
            <a:r>
              <a:rPr lang="en-US" sz="1200" baseline="0">
                <a:solidFill>
                  <a:srgbClr val="FFFFFF"/>
                </a:solidFill>
              </a:rPr>
              <a:t> Usage </a:t>
            </a:r>
          </a:p>
          <a:p>
            <a:pPr>
              <a:defRPr sz="1200">
                <a:solidFill>
                  <a:srgbClr val="FFFFFF"/>
                </a:solidFill>
              </a:defRPr>
            </a:pPr>
            <a:r>
              <a:rPr lang="en-US" sz="1200" baseline="0">
                <a:solidFill>
                  <a:srgbClr val="FFFFFF"/>
                </a:solidFill>
              </a:rPr>
              <a:t>MLTC +30% in %</a:t>
            </a:r>
          </a:p>
        </c:rich>
      </c:tx>
      <c:layout>
        <c:manualLayout>
          <c:xMode val="edge"/>
          <c:yMode val="edge"/>
          <c:x val="0.14041013351591899"/>
          <c:y val="4.8076923076923097E-3"/>
        </c:manualLayout>
      </c:layout>
      <c:overlay val="0"/>
    </c:title>
    <c:autoTitleDeleted val="0"/>
    <c:plotArea>
      <c:layout>
        <c:manualLayout>
          <c:layoutTarget val="inner"/>
          <c:xMode val="edge"/>
          <c:yMode val="edge"/>
          <c:x val="0.28618969219756601"/>
          <c:y val="0.172115384615385"/>
          <c:w val="0.59562848962061599"/>
          <c:h val="0.70602589339794097"/>
        </c:manualLayout>
      </c:layout>
      <c:barChart>
        <c:barDir val="col"/>
        <c:grouping val="stacked"/>
        <c:varyColors val="0"/>
        <c:ser>
          <c:idx val="0"/>
          <c:order val="0"/>
          <c:invertIfNegative val="0"/>
          <c:dLbls>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MDM-832'!$X$146</c:f>
              <c:numCache>
                <c:formatCode>General</c:formatCode>
                <c:ptCount val="1"/>
                <c:pt idx="0">
                  <c:v>35.75</c:v>
                </c:pt>
              </c:numCache>
            </c:numRef>
          </c:val>
          <c:extLst>
            <c:ext xmlns:c16="http://schemas.microsoft.com/office/drawing/2014/chart" uri="{C3380CC4-5D6E-409C-BE32-E72D297353CC}">
              <c16:uniqueId val="{00000000-E633-3E41-8F79-0D090D12C059}"/>
            </c:ext>
          </c:extLst>
        </c:ser>
        <c:ser>
          <c:idx val="1"/>
          <c:order val="1"/>
          <c:invertIfNegative val="0"/>
          <c:val>
            <c:numRef>
              <c:f>'EU MDM-832'!$X$147</c:f>
              <c:numCache>
                <c:formatCode>General</c:formatCode>
                <c:ptCount val="1"/>
                <c:pt idx="0">
                  <c:v>#N/A</c:v>
                </c:pt>
              </c:numCache>
            </c:numRef>
          </c:val>
          <c:extLst>
            <c:ext xmlns:c16="http://schemas.microsoft.com/office/drawing/2014/chart" uri="{C3380CC4-5D6E-409C-BE32-E72D297353CC}">
              <c16:uniqueId val="{00000001-E633-3E41-8F79-0D090D12C059}"/>
            </c:ext>
          </c:extLst>
        </c:ser>
        <c:dLbls>
          <c:showLegendKey val="0"/>
          <c:showVal val="0"/>
          <c:showCatName val="0"/>
          <c:showSerName val="0"/>
          <c:showPercent val="0"/>
          <c:showBubbleSize val="0"/>
        </c:dLbls>
        <c:gapWidth val="15"/>
        <c:overlap val="100"/>
        <c:axId val="639966208"/>
        <c:axId val="639968528"/>
      </c:barChart>
      <c:catAx>
        <c:axId val="639966208"/>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639968528"/>
        <c:crosses val="autoZero"/>
        <c:auto val="1"/>
        <c:lblAlgn val="ctr"/>
        <c:lblOffset val="100"/>
        <c:noMultiLvlLbl val="0"/>
      </c:catAx>
      <c:valAx>
        <c:axId val="639968528"/>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639966208"/>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rgbClr val="FFFFFF"/>
                </a:solidFill>
              </a:defRPr>
            </a:pPr>
            <a:r>
              <a:rPr lang="en-US" sz="1200">
                <a:solidFill>
                  <a:srgbClr val="FFFFFF"/>
                </a:solidFill>
              </a:rPr>
              <a:t>Cable</a:t>
            </a:r>
            <a:r>
              <a:rPr lang="en-US" sz="1200" baseline="0">
                <a:solidFill>
                  <a:srgbClr val="FFFFFF"/>
                </a:solidFill>
              </a:rPr>
              <a:t> loss %</a:t>
            </a:r>
          </a:p>
        </c:rich>
      </c:tx>
      <c:overlay val="0"/>
    </c:title>
    <c:autoTitleDeleted val="0"/>
    <c:plotArea>
      <c:layout/>
      <c:barChart>
        <c:barDir val="col"/>
        <c:grouping val="stacked"/>
        <c:varyColors val="0"/>
        <c:ser>
          <c:idx val="0"/>
          <c:order val="0"/>
          <c:invertIfNegative val="0"/>
          <c:val>
            <c:numRef>
              <c:f>'EU MDM-832'!$AC$146:$AJ$146</c:f>
              <c:numCache>
                <c:formatCode>General</c:formatCode>
                <c:ptCount val="8"/>
                <c:pt idx="0">
                  <c:v>-0.30104302614689882</c:v>
                </c:pt>
                <c:pt idx="1">
                  <c:v>-0.30104302614689882</c:v>
                </c:pt>
                <c:pt idx="2">
                  <c:v>-0.30104302614689882</c:v>
                </c:pt>
                <c:pt idx="3">
                  <c:v>-0.30104302614689882</c:v>
                </c:pt>
                <c:pt idx="4">
                  <c:v>-0.30104302614689882</c:v>
                </c:pt>
                <c:pt idx="5">
                  <c:v>-0.30104302614689882</c:v>
                </c:pt>
                <c:pt idx="6">
                  <c:v>-0.30104302614689882</c:v>
                </c:pt>
                <c:pt idx="7">
                  <c:v>-0.30104302614689882</c:v>
                </c:pt>
              </c:numCache>
            </c:numRef>
          </c:val>
          <c:extLst>
            <c:ext xmlns:c16="http://schemas.microsoft.com/office/drawing/2014/chart" uri="{C3380CC4-5D6E-409C-BE32-E72D297353CC}">
              <c16:uniqueId val="{00000000-82A7-8F40-86A0-80B60089BD3E}"/>
            </c:ext>
          </c:extLst>
        </c:ser>
        <c:ser>
          <c:idx val="1"/>
          <c:order val="1"/>
          <c:invertIfNegative val="0"/>
          <c:val>
            <c:numRef>
              <c:f>'EU MDM-832'!$AC$147:$AJ$147</c:f>
              <c:numCache>
                <c:formatCode>General</c:formatCode>
                <c:ptCount val="8"/>
                <c:pt idx="0">
                  <c:v>#N/A</c:v>
                </c:pt>
                <c:pt idx="1">
                  <c:v>#N/A</c:v>
                </c:pt>
                <c:pt idx="2">
                  <c:v>#N/A</c:v>
                </c:pt>
                <c:pt idx="3">
                  <c:v>#N/A</c:v>
                </c:pt>
                <c:pt idx="4">
                  <c:v>#N/A</c:v>
                </c:pt>
                <c:pt idx="5">
                  <c:v>#N/A</c:v>
                </c:pt>
                <c:pt idx="6">
                  <c:v>#N/A</c:v>
                </c:pt>
                <c:pt idx="7">
                  <c:v>#N/A</c:v>
                </c:pt>
              </c:numCache>
            </c:numRef>
          </c:val>
          <c:extLst>
            <c:ext xmlns:c16="http://schemas.microsoft.com/office/drawing/2014/chart" uri="{C3380CC4-5D6E-409C-BE32-E72D297353CC}">
              <c16:uniqueId val="{00000001-82A7-8F40-86A0-80B60089BD3E}"/>
            </c:ext>
          </c:extLst>
        </c:ser>
        <c:dLbls>
          <c:showLegendKey val="0"/>
          <c:showVal val="0"/>
          <c:showCatName val="0"/>
          <c:showSerName val="0"/>
          <c:showPercent val="0"/>
          <c:showBubbleSize val="0"/>
        </c:dLbls>
        <c:gapWidth val="0"/>
        <c:overlap val="100"/>
        <c:axId val="-23942704"/>
        <c:axId val="-11820864"/>
      </c:barChart>
      <c:catAx>
        <c:axId val="-23942704"/>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11820864"/>
        <c:crosses val="autoZero"/>
        <c:auto val="1"/>
        <c:lblAlgn val="ctr"/>
        <c:lblOffset val="100"/>
        <c:noMultiLvlLbl val="0"/>
      </c:catAx>
      <c:valAx>
        <c:axId val="-11820864"/>
        <c:scaling>
          <c:orientation val="minMax"/>
          <c:max val="0"/>
          <c:min val="-1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23942704"/>
        <c:crosses val="autoZero"/>
        <c:crossBetween val="between"/>
      </c:valAx>
      <c:spPr>
        <a:noFill/>
        <a:ln w="25400">
          <a:noFill/>
        </a:ln>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solidFill>
                  <a:srgbClr val="FFFFFF"/>
                </a:solidFill>
              </a:defRPr>
            </a:pPr>
            <a:r>
              <a:rPr lang="en-US" sz="1200">
                <a:solidFill>
                  <a:srgbClr val="FFFFFF"/>
                </a:solidFill>
              </a:rPr>
              <a:t>Output Breaker</a:t>
            </a:r>
            <a:r>
              <a:rPr lang="en-US" sz="1200" baseline="0">
                <a:solidFill>
                  <a:srgbClr val="FFFFFF"/>
                </a:solidFill>
              </a:rPr>
              <a:t> load</a:t>
            </a:r>
          </a:p>
          <a:p>
            <a:pPr>
              <a:defRPr>
                <a:solidFill>
                  <a:srgbClr val="FFFFFF"/>
                </a:solidFill>
              </a:defRPr>
            </a:pPr>
            <a:r>
              <a:rPr lang="en-US" sz="1200" baseline="0">
                <a:solidFill>
                  <a:srgbClr val="FFFFFF"/>
                </a:solidFill>
              </a:rPr>
              <a:t>MLTC in %</a:t>
            </a:r>
            <a:endParaRPr lang="en-US" sz="1200">
              <a:solidFill>
                <a:srgbClr val="FFFFFF"/>
              </a:solidFill>
            </a:endParaRPr>
          </a:p>
        </c:rich>
      </c:tx>
      <c:layout>
        <c:manualLayout>
          <c:xMode val="edge"/>
          <c:yMode val="edge"/>
          <c:x val="0.14250039109349699"/>
          <c:y val="1.44578313253012E-2"/>
        </c:manualLayout>
      </c:layout>
      <c:overlay val="0"/>
    </c:title>
    <c:autoTitleDeleted val="0"/>
    <c:plotArea>
      <c:layout>
        <c:manualLayout>
          <c:layoutTarget val="inner"/>
          <c:xMode val="edge"/>
          <c:yMode val="edge"/>
          <c:x val="0.20848255723001499"/>
          <c:y val="0.218795180722892"/>
          <c:w val="0.70542472753819696"/>
          <c:h val="0.65905246181576704"/>
        </c:manualLayout>
      </c:layout>
      <c:barChart>
        <c:barDir val="col"/>
        <c:grouping val="stacked"/>
        <c:varyColors val="0"/>
        <c:ser>
          <c:idx val="0"/>
          <c:order val="0"/>
          <c:invertIfNegative val="0"/>
          <c:dLbls>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MDM-832'!$Y$146:$Z$146</c:f>
              <c:numCache>
                <c:formatCode>General</c:formatCode>
                <c:ptCount val="2"/>
                <c:pt idx="0">
                  <c:v>29.333333333333336</c:v>
                </c:pt>
                <c:pt idx="1">
                  <c:v>29.333333333333336</c:v>
                </c:pt>
              </c:numCache>
            </c:numRef>
          </c:val>
          <c:extLst>
            <c:ext xmlns:c16="http://schemas.microsoft.com/office/drawing/2014/chart" uri="{C3380CC4-5D6E-409C-BE32-E72D297353CC}">
              <c16:uniqueId val="{00000000-E4EB-F149-A6F8-29C3A9D1E237}"/>
            </c:ext>
          </c:extLst>
        </c:ser>
        <c:ser>
          <c:idx val="1"/>
          <c:order val="1"/>
          <c:invertIfNegative val="0"/>
          <c:val>
            <c:numRef>
              <c:f>'EU MDM-832'!$Y$147:$Z$147</c:f>
              <c:numCache>
                <c:formatCode>General</c:formatCode>
                <c:ptCount val="2"/>
                <c:pt idx="0">
                  <c:v>#N/A</c:v>
                </c:pt>
                <c:pt idx="1">
                  <c:v>#N/A</c:v>
                </c:pt>
              </c:numCache>
            </c:numRef>
          </c:val>
          <c:extLst>
            <c:ext xmlns:c16="http://schemas.microsoft.com/office/drawing/2014/chart" uri="{C3380CC4-5D6E-409C-BE32-E72D297353CC}">
              <c16:uniqueId val="{00000001-E4EB-F149-A6F8-29C3A9D1E237}"/>
            </c:ext>
          </c:extLst>
        </c:ser>
        <c:dLbls>
          <c:showLegendKey val="0"/>
          <c:showVal val="0"/>
          <c:showCatName val="0"/>
          <c:showSerName val="0"/>
          <c:showPercent val="0"/>
          <c:showBubbleSize val="0"/>
        </c:dLbls>
        <c:gapWidth val="15"/>
        <c:overlap val="100"/>
        <c:axId val="-25016448"/>
        <c:axId val="-25014128"/>
      </c:barChart>
      <c:catAx>
        <c:axId val="-25016448"/>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25014128"/>
        <c:crosses val="autoZero"/>
        <c:auto val="1"/>
        <c:lblAlgn val="ctr"/>
        <c:lblOffset val="100"/>
        <c:noMultiLvlLbl val="0"/>
      </c:catAx>
      <c:valAx>
        <c:axId val="-25014128"/>
        <c:scaling>
          <c:orientation val="minMax"/>
          <c:max val="12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25016448"/>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chemeClr val="bg1"/>
                </a:solidFill>
              </a:defRPr>
            </a:pPr>
            <a:r>
              <a:rPr lang="en-US" sz="1200">
                <a:solidFill>
                  <a:schemeClr val="bg1"/>
                </a:solidFill>
              </a:rPr>
              <a:t>Input</a:t>
            </a:r>
            <a:r>
              <a:rPr lang="en-US" sz="1200" baseline="0">
                <a:solidFill>
                  <a:schemeClr val="bg1"/>
                </a:solidFill>
              </a:rPr>
              <a:t> Balance MLTC %</a:t>
            </a:r>
          </a:p>
        </c:rich>
      </c:tx>
      <c:overlay val="0"/>
    </c:title>
    <c:autoTitleDeleted val="0"/>
    <c:plotArea>
      <c:layout/>
      <c:barChart>
        <c:barDir val="col"/>
        <c:grouping val="stacked"/>
        <c:varyColors val="0"/>
        <c:ser>
          <c:idx val="0"/>
          <c:order val="0"/>
          <c:invertIfNegative val="0"/>
          <c:dLbls>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MDM-5000'!$T$29:$V$29</c:f>
              <c:numCache>
                <c:formatCode>General</c:formatCode>
                <c:ptCount val="3"/>
                <c:pt idx="0">
                  <c:v>97.256249999999994</c:v>
                </c:pt>
                <c:pt idx="1">
                  <c:v>97.256249999999994</c:v>
                </c:pt>
                <c:pt idx="2">
                  <c:v>97.256249999999994</c:v>
                </c:pt>
              </c:numCache>
            </c:numRef>
          </c:val>
          <c:extLst>
            <c:ext xmlns:c16="http://schemas.microsoft.com/office/drawing/2014/chart" uri="{C3380CC4-5D6E-409C-BE32-E72D297353CC}">
              <c16:uniqueId val="{00000000-6803-C049-A8F7-FF3240773BC8}"/>
            </c:ext>
          </c:extLst>
        </c:ser>
        <c:ser>
          <c:idx val="1"/>
          <c:order val="1"/>
          <c:invertIfNegative val="0"/>
          <c:val>
            <c:numRef>
              <c:f>'EU MDM-5000'!$T$30:$V$30</c:f>
              <c:numCache>
                <c:formatCode>General</c:formatCode>
                <c:ptCount val="3"/>
                <c:pt idx="0">
                  <c:v>#N/A</c:v>
                </c:pt>
                <c:pt idx="1">
                  <c:v>#N/A</c:v>
                </c:pt>
                <c:pt idx="2">
                  <c:v>#N/A</c:v>
                </c:pt>
              </c:numCache>
            </c:numRef>
          </c:val>
          <c:extLst>
            <c:ext xmlns:c16="http://schemas.microsoft.com/office/drawing/2014/chart" uri="{C3380CC4-5D6E-409C-BE32-E72D297353CC}">
              <c16:uniqueId val="{00000001-6803-C049-A8F7-FF3240773BC8}"/>
            </c:ext>
          </c:extLst>
        </c:ser>
        <c:dLbls>
          <c:showLegendKey val="0"/>
          <c:showVal val="0"/>
          <c:showCatName val="0"/>
          <c:showSerName val="0"/>
          <c:showPercent val="0"/>
          <c:showBubbleSize val="0"/>
        </c:dLbls>
        <c:gapWidth val="15"/>
        <c:overlap val="100"/>
        <c:axId val="538310752"/>
        <c:axId val="626758336"/>
      </c:barChart>
      <c:catAx>
        <c:axId val="538310752"/>
        <c:scaling>
          <c:orientation val="minMax"/>
        </c:scaling>
        <c:delete val="0"/>
        <c:axPos val="b"/>
        <c:majorTickMark val="out"/>
        <c:minorTickMark val="none"/>
        <c:tickLblPos val="nextTo"/>
        <c:spPr>
          <a:ln>
            <a:solidFill>
              <a:schemeClr val="bg1"/>
            </a:solidFill>
          </a:ln>
        </c:spPr>
        <c:txPr>
          <a:bodyPr/>
          <a:lstStyle/>
          <a:p>
            <a:pPr>
              <a:defRPr>
                <a:solidFill>
                  <a:schemeClr val="bg1"/>
                </a:solidFill>
              </a:defRPr>
            </a:pPr>
            <a:endParaRPr lang="en-CH"/>
          </a:p>
        </c:txPr>
        <c:crossAx val="626758336"/>
        <c:crosses val="autoZero"/>
        <c:auto val="1"/>
        <c:lblAlgn val="ctr"/>
        <c:lblOffset val="100"/>
        <c:noMultiLvlLbl val="0"/>
      </c:catAx>
      <c:valAx>
        <c:axId val="626758336"/>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noFill/>
          <a:ln>
            <a:solidFill>
              <a:schemeClr val="bg1"/>
            </a:solidFill>
          </a:ln>
        </c:spPr>
        <c:txPr>
          <a:bodyPr/>
          <a:lstStyle/>
          <a:p>
            <a:pPr>
              <a:defRPr>
                <a:solidFill>
                  <a:schemeClr val="bg1"/>
                </a:solidFill>
              </a:defRPr>
            </a:pPr>
            <a:endParaRPr lang="en-CH"/>
          </a:p>
        </c:txPr>
        <c:crossAx val="538310752"/>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lrMapOvr bg1="lt1" tx1="dk1" bg2="lt2" tx2="dk2" accent1="accent1" accent2="accent2" accent3="accent3" accent4="accent4" accent5="accent5" accent6="accent6" hlink="hlink" folHlink="folHlink"/>
  <c:chart>
    <c:title>
      <c:tx>
        <c:rich>
          <a:bodyPr/>
          <a:lstStyle/>
          <a:p>
            <a:pPr>
              <a:defRPr sz="1200">
                <a:solidFill>
                  <a:schemeClr val="bg1"/>
                </a:solidFill>
              </a:defRPr>
            </a:pPr>
            <a:r>
              <a:rPr lang="en-US" sz="1200">
                <a:solidFill>
                  <a:schemeClr val="bg1"/>
                </a:solidFill>
              </a:rPr>
              <a:t>Breaker 1 branches</a:t>
            </a:r>
          </a:p>
        </c:rich>
      </c:tx>
      <c:overlay val="0"/>
    </c:title>
    <c:autoTitleDeleted val="0"/>
    <c:plotArea>
      <c:layout/>
      <c:pieChart>
        <c:varyColors val="1"/>
        <c:ser>
          <c:idx val="0"/>
          <c:order val="0"/>
          <c:spPr>
            <a:ln>
              <a:solidFill>
                <a:schemeClr val="tx1">
                  <a:lumMod val="75000"/>
                  <a:lumOff val="25000"/>
                  <a:alpha val="0"/>
                </a:schemeClr>
              </a:solidFill>
            </a:ln>
          </c:spPr>
          <c:dPt>
            <c:idx val="0"/>
            <c:bubble3D val="0"/>
            <c:spPr>
              <a:solidFill>
                <a:schemeClr val="accent1">
                  <a:lumMod val="75000"/>
                </a:schemeClr>
              </a:solidFill>
              <a:ln>
                <a:solidFill>
                  <a:schemeClr val="tx1">
                    <a:lumMod val="75000"/>
                    <a:lumOff val="25000"/>
                    <a:alpha val="0"/>
                  </a:schemeClr>
                </a:solidFill>
              </a:ln>
            </c:spPr>
            <c:extLst>
              <c:ext xmlns:c16="http://schemas.microsoft.com/office/drawing/2014/chart" uri="{C3380CC4-5D6E-409C-BE32-E72D297353CC}">
                <c16:uniqueId val="{00000001-3265-E74D-A93D-F66D49BD1087}"/>
              </c:ext>
            </c:extLst>
          </c:dPt>
          <c:dPt>
            <c:idx val="1"/>
            <c:bubble3D val="0"/>
            <c:spPr>
              <a:solidFill>
                <a:schemeClr val="accent1">
                  <a:lumMod val="60000"/>
                  <a:lumOff val="40000"/>
                </a:schemeClr>
              </a:solidFill>
              <a:ln>
                <a:solidFill>
                  <a:schemeClr val="tx1">
                    <a:lumMod val="75000"/>
                    <a:lumOff val="25000"/>
                    <a:alpha val="0"/>
                  </a:schemeClr>
                </a:solidFill>
              </a:ln>
            </c:spPr>
            <c:extLst>
              <c:ext xmlns:c16="http://schemas.microsoft.com/office/drawing/2014/chart" uri="{C3380CC4-5D6E-409C-BE32-E72D297353CC}">
                <c16:uniqueId val="{00000003-3265-E74D-A93D-F66D49BD1087}"/>
              </c:ext>
            </c:extLst>
          </c:dPt>
          <c:dPt>
            <c:idx val="2"/>
            <c:bubble3D val="0"/>
            <c:spPr>
              <a:solidFill>
                <a:schemeClr val="accent1">
                  <a:lumMod val="40000"/>
                  <a:lumOff val="60000"/>
                </a:schemeClr>
              </a:solidFill>
              <a:ln>
                <a:solidFill>
                  <a:schemeClr val="tx1">
                    <a:lumMod val="75000"/>
                    <a:lumOff val="25000"/>
                    <a:alpha val="0"/>
                  </a:schemeClr>
                </a:solidFill>
              </a:ln>
            </c:spPr>
            <c:extLst>
              <c:ext xmlns:c16="http://schemas.microsoft.com/office/drawing/2014/chart" uri="{C3380CC4-5D6E-409C-BE32-E72D297353CC}">
                <c16:uniqueId val="{00000005-3265-E74D-A93D-F66D49BD1087}"/>
              </c:ext>
            </c:extLst>
          </c:dPt>
          <c:dPt>
            <c:idx val="3"/>
            <c:bubble3D val="0"/>
            <c:spPr>
              <a:solidFill>
                <a:schemeClr val="accent1">
                  <a:lumMod val="20000"/>
                  <a:lumOff val="80000"/>
                </a:schemeClr>
              </a:solidFill>
              <a:ln>
                <a:solidFill>
                  <a:schemeClr val="tx1">
                    <a:lumMod val="75000"/>
                    <a:lumOff val="25000"/>
                    <a:alpha val="0"/>
                  </a:schemeClr>
                </a:solidFill>
              </a:ln>
            </c:spPr>
            <c:extLst>
              <c:ext xmlns:c16="http://schemas.microsoft.com/office/drawing/2014/chart" uri="{C3380CC4-5D6E-409C-BE32-E72D297353CC}">
                <c16:uniqueId val="{00000007-3265-E74D-A93D-F66D49BD1087}"/>
              </c:ext>
            </c:extLst>
          </c:dPt>
          <c:dLbls>
            <c:spPr>
              <a:noFill/>
              <a:ln>
                <a:noFill/>
              </a:ln>
              <a:effectLst/>
            </c:spPr>
            <c:txPr>
              <a:bodyPr/>
              <a:lstStyle/>
              <a:p>
                <a:pPr>
                  <a:defRPr sz="1200" b="1" i="1">
                    <a:solidFill>
                      <a:srgbClr val="404040"/>
                    </a:solidFill>
                  </a:defRPr>
                </a:pPr>
                <a:endParaRPr lang="en-CH"/>
              </a:p>
            </c:txPr>
            <c:showLegendKey val="0"/>
            <c:showVal val="0"/>
            <c:showCatName val="1"/>
            <c:showSerName val="0"/>
            <c:showPercent val="1"/>
            <c:showBubbleSize val="0"/>
            <c:showLeaderLines val="1"/>
            <c:extLst>
              <c:ext xmlns:c15="http://schemas.microsoft.com/office/drawing/2012/chart" uri="{CE6537A1-D6FC-4f65-9D91-7224C49458BB}"/>
            </c:extLst>
          </c:dLbls>
          <c:cat>
            <c:numRef>
              <c:f>('EU MDM-832'!$D$8,'EU MDM-832'!$F$8,'EU MDM-832'!$H$8,'EU MDM-832'!$J$8)</c:f>
              <c:numCache>
                <c:formatCode>General</c:formatCode>
                <c:ptCount val="4"/>
                <c:pt idx="0">
                  <c:v>1</c:v>
                </c:pt>
                <c:pt idx="1">
                  <c:v>2</c:v>
                </c:pt>
                <c:pt idx="2">
                  <c:v>3</c:v>
                </c:pt>
                <c:pt idx="3">
                  <c:v>4</c:v>
                </c:pt>
              </c:numCache>
            </c:numRef>
          </c:cat>
          <c:val>
            <c:numRef>
              <c:f>('EU MDM-832'!$D$128,'EU MDM-832'!$F$128,'EU MDM-832'!$H$128,'EU MDM-832'!$J$128)</c:f>
              <c:numCache>
                <c:formatCode>0.0</c:formatCode>
                <c:ptCount val="4"/>
                <c:pt idx="0">
                  <c:v>1.1000000000000001</c:v>
                </c:pt>
                <c:pt idx="1">
                  <c:v>1.1000000000000001</c:v>
                </c:pt>
                <c:pt idx="2">
                  <c:v>1.1000000000000001</c:v>
                </c:pt>
                <c:pt idx="3">
                  <c:v>1.1000000000000001</c:v>
                </c:pt>
              </c:numCache>
            </c:numRef>
          </c:val>
          <c:extLst>
            <c:ext xmlns:c16="http://schemas.microsoft.com/office/drawing/2014/chart" uri="{C3380CC4-5D6E-409C-BE32-E72D297353CC}">
              <c16:uniqueId val="{00000008-3265-E74D-A93D-F66D49BD1087}"/>
            </c:ext>
          </c:extLst>
        </c:ser>
        <c:dLbls>
          <c:showLegendKey val="0"/>
          <c:showVal val="0"/>
          <c:showCatName val="0"/>
          <c:showSerName val="0"/>
          <c:showPercent val="1"/>
          <c:showBubbleSize val="0"/>
          <c:showLeaderLines val="1"/>
        </c:dLbls>
        <c:firstSliceAng val="0"/>
      </c:pieChart>
    </c:plotArea>
    <c:plotVisOnly val="1"/>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lrMapOvr bg1="lt1" tx1="dk1" bg2="lt2" tx2="dk2" accent1="accent1" accent2="accent2" accent3="accent3" accent4="accent4" accent5="accent5" accent6="accent6" hlink="hlink" folHlink="folHlink"/>
  <c:chart>
    <c:title>
      <c:tx>
        <c:rich>
          <a:bodyPr/>
          <a:lstStyle/>
          <a:p>
            <a:pPr>
              <a:defRPr sz="1200">
                <a:solidFill>
                  <a:schemeClr val="bg1"/>
                </a:solidFill>
              </a:defRPr>
            </a:pPr>
            <a:r>
              <a:rPr lang="en-US" sz="1200">
                <a:solidFill>
                  <a:schemeClr val="bg1"/>
                </a:solidFill>
              </a:rPr>
              <a:t>Breaker 2 branches</a:t>
            </a:r>
          </a:p>
        </c:rich>
      </c:tx>
      <c:overlay val="0"/>
    </c:title>
    <c:autoTitleDeleted val="0"/>
    <c:plotArea>
      <c:layout/>
      <c:pieChart>
        <c:varyColors val="1"/>
        <c:ser>
          <c:idx val="0"/>
          <c:order val="0"/>
          <c:spPr>
            <a:ln>
              <a:solidFill>
                <a:schemeClr val="tx1">
                  <a:lumMod val="75000"/>
                  <a:lumOff val="25000"/>
                  <a:alpha val="0"/>
                </a:schemeClr>
              </a:solidFill>
            </a:ln>
          </c:spPr>
          <c:dPt>
            <c:idx val="0"/>
            <c:bubble3D val="0"/>
            <c:spPr>
              <a:solidFill>
                <a:schemeClr val="accent1">
                  <a:lumMod val="75000"/>
                </a:schemeClr>
              </a:solidFill>
              <a:ln>
                <a:solidFill>
                  <a:schemeClr val="tx1">
                    <a:lumMod val="75000"/>
                    <a:lumOff val="25000"/>
                    <a:alpha val="0"/>
                  </a:schemeClr>
                </a:solidFill>
              </a:ln>
            </c:spPr>
            <c:extLst>
              <c:ext xmlns:c16="http://schemas.microsoft.com/office/drawing/2014/chart" uri="{C3380CC4-5D6E-409C-BE32-E72D297353CC}">
                <c16:uniqueId val="{00000001-E126-FC4E-8BB7-2C35344CAD26}"/>
              </c:ext>
            </c:extLst>
          </c:dPt>
          <c:dPt>
            <c:idx val="1"/>
            <c:bubble3D val="0"/>
            <c:spPr>
              <a:solidFill>
                <a:schemeClr val="accent1">
                  <a:lumMod val="60000"/>
                  <a:lumOff val="40000"/>
                </a:schemeClr>
              </a:solidFill>
              <a:ln>
                <a:solidFill>
                  <a:schemeClr val="tx1">
                    <a:lumMod val="75000"/>
                    <a:lumOff val="25000"/>
                    <a:alpha val="0"/>
                  </a:schemeClr>
                </a:solidFill>
              </a:ln>
            </c:spPr>
            <c:extLst>
              <c:ext xmlns:c16="http://schemas.microsoft.com/office/drawing/2014/chart" uri="{C3380CC4-5D6E-409C-BE32-E72D297353CC}">
                <c16:uniqueId val="{00000003-E126-FC4E-8BB7-2C35344CAD26}"/>
              </c:ext>
            </c:extLst>
          </c:dPt>
          <c:dPt>
            <c:idx val="2"/>
            <c:bubble3D val="0"/>
            <c:spPr>
              <a:solidFill>
                <a:schemeClr val="accent1">
                  <a:lumMod val="40000"/>
                  <a:lumOff val="60000"/>
                </a:schemeClr>
              </a:solidFill>
              <a:ln>
                <a:solidFill>
                  <a:schemeClr val="tx1">
                    <a:lumMod val="75000"/>
                    <a:lumOff val="25000"/>
                    <a:alpha val="0"/>
                  </a:schemeClr>
                </a:solidFill>
              </a:ln>
            </c:spPr>
            <c:extLst>
              <c:ext xmlns:c16="http://schemas.microsoft.com/office/drawing/2014/chart" uri="{C3380CC4-5D6E-409C-BE32-E72D297353CC}">
                <c16:uniqueId val="{00000005-E126-FC4E-8BB7-2C35344CAD26}"/>
              </c:ext>
            </c:extLst>
          </c:dPt>
          <c:dPt>
            <c:idx val="3"/>
            <c:bubble3D val="0"/>
            <c:spPr>
              <a:solidFill>
                <a:schemeClr val="accent1">
                  <a:lumMod val="20000"/>
                  <a:lumOff val="80000"/>
                </a:schemeClr>
              </a:solidFill>
              <a:ln>
                <a:solidFill>
                  <a:schemeClr val="tx1">
                    <a:lumMod val="75000"/>
                    <a:lumOff val="25000"/>
                    <a:alpha val="0"/>
                  </a:schemeClr>
                </a:solidFill>
              </a:ln>
            </c:spPr>
            <c:extLst>
              <c:ext xmlns:c16="http://schemas.microsoft.com/office/drawing/2014/chart" uri="{C3380CC4-5D6E-409C-BE32-E72D297353CC}">
                <c16:uniqueId val="{00000007-E126-FC4E-8BB7-2C35344CAD26}"/>
              </c:ext>
            </c:extLst>
          </c:dPt>
          <c:dLbls>
            <c:spPr>
              <a:noFill/>
              <a:ln>
                <a:noFill/>
              </a:ln>
              <a:effectLst/>
            </c:spPr>
            <c:txPr>
              <a:bodyPr/>
              <a:lstStyle/>
              <a:p>
                <a:pPr>
                  <a:defRPr sz="1200" b="1" i="1">
                    <a:solidFill>
                      <a:srgbClr val="404040"/>
                    </a:solidFill>
                  </a:defRPr>
                </a:pPr>
                <a:endParaRPr lang="en-CH"/>
              </a:p>
            </c:txPr>
            <c:showLegendKey val="0"/>
            <c:showVal val="0"/>
            <c:showCatName val="1"/>
            <c:showSerName val="0"/>
            <c:showPercent val="1"/>
            <c:showBubbleSize val="0"/>
            <c:showLeaderLines val="1"/>
            <c:extLst>
              <c:ext xmlns:c15="http://schemas.microsoft.com/office/drawing/2012/chart" uri="{CE6537A1-D6FC-4f65-9D91-7224C49458BB}"/>
            </c:extLst>
          </c:dLbls>
          <c:val>
            <c:numRef>
              <c:f>('EU MDM-832'!$L$128,'EU MDM-832'!$N$128,'EU MDM-832'!$P$128,'EU MDM-832'!$R$128)</c:f>
              <c:numCache>
                <c:formatCode>0.0</c:formatCode>
                <c:ptCount val="4"/>
                <c:pt idx="0">
                  <c:v>1.1000000000000001</c:v>
                </c:pt>
                <c:pt idx="1">
                  <c:v>1.1000000000000001</c:v>
                </c:pt>
                <c:pt idx="2">
                  <c:v>1.1000000000000001</c:v>
                </c:pt>
                <c:pt idx="3">
                  <c:v>1.1000000000000001</c:v>
                </c:pt>
              </c:numCache>
            </c:numRef>
          </c:val>
          <c:extLst>
            <c:ext xmlns:c16="http://schemas.microsoft.com/office/drawing/2014/chart" uri="{C3380CC4-5D6E-409C-BE32-E72D297353CC}">
              <c16:uniqueId val="{00000008-E126-FC4E-8BB7-2C35344CAD26}"/>
            </c:ext>
          </c:extLst>
        </c:ser>
        <c:dLbls>
          <c:showLegendKey val="0"/>
          <c:showVal val="0"/>
          <c:showCatName val="0"/>
          <c:showSerName val="0"/>
          <c:showPercent val="1"/>
          <c:showBubbleSize val="0"/>
          <c:showLeaderLines val="1"/>
        </c:dLbls>
        <c:firstSliceAng val="0"/>
      </c:pieChart>
    </c:plotArea>
    <c:plotVisOnly val="1"/>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lIns="2">
            <a:spAutoFit/>
          </a:bodyPr>
          <a:lstStyle/>
          <a:p>
            <a:pPr>
              <a:defRPr sz="1200">
                <a:solidFill>
                  <a:srgbClr val="FFFFFF"/>
                </a:solidFill>
              </a:defRPr>
            </a:pPr>
            <a:r>
              <a:rPr lang="en-US" sz="1200">
                <a:solidFill>
                  <a:srgbClr val="FFFFFF"/>
                </a:solidFill>
              </a:rPr>
              <a:t>Inlet</a:t>
            </a:r>
            <a:r>
              <a:rPr lang="en-US" sz="1200" baseline="0">
                <a:solidFill>
                  <a:srgbClr val="FFFFFF"/>
                </a:solidFill>
              </a:rPr>
              <a:t> Usage </a:t>
            </a:r>
          </a:p>
          <a:p>
            <a:pPr>
              <a:defRPr sz="1200">
                <a:solidFill>
                  <a:srgbClr val="FFFFFF"/>
                </a:solidFill>
              </a:defRPr>
            </a:pPr>
            <a:r>
              <a:rPr lang="en-US" sz="1200" baseline="0">
                <a:solidFill>
                  <a:srgbClr val="FFFFFF"/>
                </a:solidFill>
              </a:rPr>
              <a:t>MLTC +30% in %</a:t>
            </a:r>
          </a:p>
        </c:rich>
      </c:tx>
      <c:layout>
        <c:manualLayout>
          <c:xMode val="edge"/>
          <c:yMode val="edge"/>
          <c:x val="0.14041013351591899"/>
          <c:y val="4.8076923076923097E-3"/>
        </c:manualLayout>
      </c:layout>
      <c:overlay val="0"/>
    </c:title>
    <c:autoTitleDeleted val="0"/>
    <c:plotArea>
      <c:layout>
        <c:manualLayout>
          <c:layoutTarget val="inner"/>
          <c:xMode val="edge"/>
          <c:yMode val="edge"/>
          <c:x val="0.28618969219756601"/>
          <c:y val="0.172115384615385"/>
          <c:w val="0.59562848962061599"/>
          <c:h val="0.70602589339794097"/>
        </c:manualLayout>
      </c:layout>
      <c:barChart>
        <c:barDir val="col"/>
        <c:grouping val="stacked"/>
        <c:varyColors val="0"/>
        <c:ser>
          <c:idx val="0"/>
          <c:order val="0"/>
          <c:invertIfNegative val="0"/>
          <c:dLbls>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MDM-832'!$X$184</c:f>
              <c:numCache>
                <c:formatCode>General</c:formatCode>
                <c:ptCount val="1"/>
                <c:pt idx="0">
                  <c:v>35.75</c:v>
                </c:pt>
              </c:numCache>
            </c:numRef>
          </c:val>
          <c:extLst>
            <c:ext xmlns:c16="http://schemas.microsoft.com/office/drawing/2014/chart" uri="{C3380CC4-5D6E-409C-BE32-E72D297353CC}">
              <c16:uniqueId val="{00000000-A5EB-E44E-B9C7-F5798E38F19D}"/>
            </c:ext>
          </c:extLst>
        </c:ser>
        <c:ser>
          <c:idx val="1"/>
          <c:order val="1"/>
          <c:invertIfNegative val="0"/>
          <c:val>
            <c:numRef>
              <c:f>'EU MDM-832'!$X$185</c:f>
              <c:numCache>
                <c:formatCode>General</c:formatCode>
                <c:ptCount val="1"/>
                <c:pt idx="0">
                  <c:v>#N/A</c:v>
                </c:pt>
              </c:numCache>
            </c:numRef>
          </c:val>
          <c:extLst>
            <c:ext xmlns:c16="http://schemas.microsoft.com/office/drawing/2014/chart" uri="{C3380CC4-5D6E-409C-BE32-E72D297353CC}">
              <c16:uniqueId val="{00000001-A5EB-E44E-B9C7-F5798E38F19D}"/>
            </c:ext>
          </c:extLst>
        </c:ser>
        <c:dLbls>
          <c:showLegendKey val="0"/>
          <c:showVal val="0"/>
          <c:showCatName val="0"/>
          <c:showSerName val="0"/>
          <c:showPercent val="0"/>
          <c:showBubbleSize val="0"/>
        </c:dLbls>
        <c:gapWidth val="15"/>
        <c:overlap val="100"/>
        <c:axId val="640035168"/>
        <c:axId val="640037488"/>
      </c:barChart>
      <c:catAx>
        <c:axId val="640035168"/>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640037488"/>
        <c:crosses val="autoZero"/>
        <c:auto val="1"/>
        <c:lblAlgn val="ctr"/>
        <c:lblOffset val="100"/>
        <c:noMultiLvlLbl val="0"/>
      </c:catAx>
      <c:valAx>
        <c:axId val="640037488"/>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640035168"/>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rgbClr val="FFFFFF"/>
                </a:solidFill>
              </a:defRPr>
            </a:pPr>
            <a:r>
              <a:rPr lang="en-US" sz="1200">
                <a:solidFill>
                  <a:srgbClr val="FFFFFF"/>
                </a:solidFill>
              </a:rPr>
              <a:t>Cable</a:t>
            </a:r>
            <a:r>
              <a:rPr lang="en-US" sz="1200" baseline="0">
                <a:solidFill>
                  <a:srgbClr val="FFFFFF"/>
                </a:solidFill>
              </a:rPr>
              <a:t> loss %</a:t>
            </a:r>
          </a:p>
        </c:rich>
      </c:tx>
      <c:overlay val="0"/>
    </c:title>
    <c:autoTitleDeleted val="0"/>
    <c:plotArea>
      <c:layout/>
      <c:barChart>
        <c:barDir val="col"/>
        <c:grouping val="stacked"/>
        <c:varyColors val="0"/>
        <c:ser>
          <c:idx val="0"/>
          <c:order val="0"/>
          <c:invertIfNegative val="0"/>
          <c:val>
            <c:numRef>
              <c:f>'EU MDM-832'!$AC$184:$AJ$184</c:f>
              <c:numCache>
                <c:formatCode>General</c:formatCode>
                <c:ptCount val="8"/>
                <c:pt idx="0">
                  <c:v>-0.30104302614689882</c:v>
                </c:pt>
                <c:pt idx="1">
                  <c:v>-0.30104302614689882</c:v>
                </c:pt>
                <c:pt idx="2">
                  <c:v>-0.30104302614689882</c:v>
                </c:pt>
                <c:pt idx="3">
                  <c:v>-0.30104302614689882</c:v>
                </c:pt>
                <c:pt idx="4">
                  <c:v>-0.30104302614689882</c:v>
                </c:pt>
                <c:pt idx="5">
                  <c:v>-0.30104302614689882</c:v>
                </c:pt>
                <c:pt idx="6">
                  <c:v>-0.30104302614689882</c:v>
                </c:pt>
                <c:pt idx="7">
                  <c:v>-0.30104302614689882</c:v>
                </c:pt>
              </c:numCache>
            </c:numRef>
          </c:val>
          <c:extLst>
            <c:ext xmlns:c16="http://schemas.microsoft.com/office/drawing/2014/chart" uri="{C3380CC4-5D6E-409C-BE32-E72D297353CC}">
              <c16:uniqueId val="{00000000-05F8-D34B-AE97-957BB6298C80}"/>
            </c:ext>
          </c:extLst>
        </c:ser>
        <c:ser>
          <c:idx val="1"/>
          <c:order val="1"/>
          <c:invertIfNegative val="0"/>
          <c:val>
            <c:numRef>
              <c:f>'EU MDM-832'!$AC$185:$AJ$185</c:f>
              <c:numCache>
                <c:formatCode>General</c:formatCode>
                <c:ptCount val="8"/>
                <c:pt idx="0">
                  <c:v>#N/A</c:v>
                </c:pt>
                <c:pt idx="1">
                  <c:v>#N/A</c:v>
                </c:pt>
                <c:pt idx="2">
                  <c:v>#N/A</c:v>
                </c:pt>
                <c:pt idx="3">
                  <c:v>#N/A</c:v>
                </c:pt>
                <c:pt idx="4">
                  <c:v>#N/A</c:v>
                </c:pt>
                <c:pt idx="5">
                  <c:v>#N/A</c:v>
                </c:pt>
                <c:pt idx="6">
                  <c:v>#N/A</c:v>
                </c:pt>
                <c:pt idx="7">
                  <c:v>#N/A</c:v>
                </c:pt>
              </c:numCache>
            </c:numRef>
          </c:val>
          <c:extLst>
            <c:ext xmlns:c16="http://schemas.microsoft.com/office/drawing/2014/chart" uri="{C3380CC4-5D6E-409C-BE32-E72D297353CC}">
              <c16:uniqueId val="{00000001-05F8-D34B-AE97-957BB6298C80}"/>
            </c:ext>
          </c:extLst>
        </c:ser>
        <c:dLbls>
          <c:showLegendKey val="0"/>
          <c:showVal val="0"/>
          <c:showCatName val="0"/>
          <c:showSerName val="0"/>
          <c:showPercent val="0"/>
          <c:showBubbleSize val="0"/>
        </c:dLbls>
        <c:gapWidth val="0"/>
        <c:overlap val="100"/>
        <c:axId val="640059584"/>
        <c:axId val="640061904"/>
      </c:barChart>
      <c:catAx>
        <c:axId val="640059584"/>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640061904"/>
        <c:crosses val="autoZero"/>
        <c:auto val="1"/>
        <c:lblAlgn val="ctr"/>
        <c:lblOffset val="100"/>
        <c:noMultiLvlLbl val="0"/>
      </c:catAx>
      <c:valAx>
        <c:axId val="640061904"/>
        <c:scaling>
          <c:orientation val="minMax"/>
          <c:max val="0"/>
          <c:min val="-1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640059584"/>
        <c:crosses val="autoZero"/>
        <c:crossBetween val="between"/>
      </c:valAx>
      <c:spPr>
        <a:noFill/>
        <a:ln w="25400">
          <a:noFill/>
        </a:ln>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solidFill>
                  <a:srgbClr val="FFFFFF"/>
                </a:solidFill>
              </a:defRPr>
            </a:pPr>
            <a:r>
              <a:rPr lang="en-US" sz="1200">
                <a:solidFill>
                  <a:srgbClr val="FFFFFF"/>
                </a:solidFill>
              </a:rPr>
              <a:t>Output Breaker</a:t>
            </a:r>
            <a:r>
              <a:rPr lang="en-US" sz="1200" baseline="0">
                <a:solidFill>
                  <a:srgbClr val="FFFFFF"/>
                </a:solidFill>
              </a:rPr>
              <a:t> load</a:t>
            </a:r>
          </a:p>
          <a:p>
            <a:pPr>
              <a:defRPr>
                <a:solidFill>
                  <a:srgbClr val="FFFFFF"/>
                </a:solidFill>
              </a:defRPr>
            </a:pPr>
            <a:r>
              <a:rPr lang="en-US" sz="1200" baseline="0">
                <a:solidFill>
                  <a:srgbClr val="FFFFFF"/>
                </a:solidFill>
              </a:rPr>
              <a:t>MLTC in %</a:t>
            </a:r>
            <a:endParaRPr lang="en-US" sz="1200">
              <a:solidFill>
                <a:srgbClr val="FFFFFF"/>
              </a:solidFill>
            </a:endParaRPr>
          </a:p>
        </c:rich>
      </c:tx>
      <c:layout>
        <c:manualLayout>
          <c:xMode val="edge"/>
          <c:yMode val="edge"/>
          <c:x val="0.14250039109349699"/>
          <c:y val="1.44578313253012E-2"/>
        </c:manualLayout>
      </c:layout>
      <c:overlay val="0"/>
    </c:title>
    <c:autoTitleDeleted val="0"/>
    <c:plotArea>
      <c:layout>
        <c:manualLayout>
          <c:layoutTarget val="inner"/>
          <c:xMode val="edge"/>
          <c:yMode val="edge"/>
          <c:x val="0.20848255723001499"/>
          <c:y val="0.218795180722892"/>
          <c:w val="0.70542472753819696"/>
          <c:h val="0.65905246181576704"/>
        </c:manualLayout>
      </c:layout>
      <c:barChart>
        <c:barDir val="col"/>
        <c:grouping val="stacked"/>
        <c:varyColors val="0"/>
        <c:ser>
          <c:idx val="0"/>
          <c:order val="0"/>
          <c:invertIfNegative val="0"/>
          <c:dLbls>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MDM-832'!$Y$184:$Z$184</c:f>
              <c:numCache>
                <c:formatCode>General</c:formatCode>
                <c:ptCount val="2"/>
                <c:pt idx="0">
                  <c:v>29.333333333333336</c:v>
                </c:pt>
                <c:pt idx="1">
                  <c:v>29.333333333333336</c:v>
                </c:pt>
              </c:numCache>
            </c:numRef>
          </c:val>
          <c:extLst>
            <c:ext xmlns:c16="http://schemas.microsoft.com/office/drawing/2014/chart" uri="{C3380CC4-5D6E-409C-BE32-E72D297353CC}">
              <c16:uniqueId val="{00000000-4E57-DC4A-983E-D0E0CE4EB2EF}"/>
            </c:ext>
          </c:extLst>
        </c:ser>
        <c:ser>
          <c:idx val="1"/>
          <c:order val="1"/>
          <c:invertIfNegative val="0"/>
          <c:val>
            <c:numRef>
              <c:f>'EU MDM-832'!$Y$185:$Z$185</c:f>
              <c:numCache>
                <c:formatCode>General</c:formatCode>
                <c:ptCount val="2"/>
                <c:pt idx="0">
                  <c:v>#N/A</c:v>
                </c:pt>
                <c:pt idx="1">
                  <c:v>#N/A</c:v>
                </c:pt>
              </c:numCache>
            </c:numRef>
          </c:val>
          <c:extLst>
            <c:ext xmlns:c16="http://schemas.microsoft.com/office/drawing/2014/chart" uri="{C3380CC4-5D6E-409C-BE32-E72D297353CC}">
              <c16:uniqueId val="{00000001-4E57-DC4A-983E-D0E0CE4EB2EF}"/>
            </c:ext>
          </c:extLst>
        </c:ser>
        <c:dLbls>
          <c:showLegendKey val="0"/>
          <c:showVal val="0"/>
          <c:showCatName val="0"/>
          <c:showSerName val="0"/>
          <c:showPercent val="0"/>
          <c:showBubbleSize val="0"/>
        </c:dLbls>
        <c:gapWidth val="15"/>
        <c:overlap val="100"/>
        <c:axId val="627000096"/>
        <c:axId val="626951152"/>
      </c:barChart>
      <c:catAx>
        <c:axId val="627000096"/>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626951152"/>
        <c:crosses val="autoZero"/>
        <c:auto val="1"/>
        <c:lblAlgn val="ctr"/>
        <c:lblOffset val="100"/>
        <c:noMultiLvlLbl val="0"/>
      </c:catAx>
      <c:valAx>
        <c:axId val="626951152"/>
        <c:scaling>
          <c:orientation val="minMax"/>
          <c:max val="12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627000096"/>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lrMapOvr bg1="lt1" tx1="dk1" bg2="lt2" tx2="dk2" accent1="accent1" accent2="accent2" accent3="accent3" accent4="accent4" accent5="accent5" accent6="accent6" hlink="hlink" folHlink="folHlink"/>
  <c:chart>
    <c:title>
      <c:tx>
        <c:rich>
          <a:bodyPr/>
          <a:lstStyle/>
          <a:p>
            <a:pPr>
              <a:defRPr/>
            </a:pPr>
            <a:r>
              <a:rPr lang="en-US" sz="1200">
                <a:solidFill>
                  <a:schemeClr val="bg1"/>
                </a:solidFill>
              </a:rPr>
              <a:t>Breaker 1 branches</a:t>
            </a:r>
          </a:p>
        </c:rich>
      </c:tx>
      <c:overlay val="0"/>
    </c:title>
    <c:autoTitleDeleted val="0"/>
    <c:plotArea>
      <c:layout/>
      <c:pieChart>
        <c:varyColors val="1"/>
        <c:ser>
          <c:idx val="0"/>
          <c:order val="0"/>
          <c:spPr>
            <a:ln>
              <a:solidFill>
                <a:schemeClr val="tx1">
                  <a:lumMod val="75000"/>
                  <a:lumOff val="25000"/>
                  <a:alpha val="0"/>
                </a:schemeClr>
              </a:solidFill>
            </a:ln>
          </c:spPr>
          <c:dPt>
            <c:idx val="0"/>
            <c:bubble3D val="0"/>
            <c:spPr>
              <a:solidFill>
                <a:schemeClr val="accent1">
                  <a:lumMod val="75000"/>
                </a:schemeClr>
              </a:solidFill>
              <a:ln>
                <a:solidFill>
                  <a:schemeClr val="tx1">
                    <a:lumMod val="75000"/>
                    <a:lumOff val="25000"/>
                    <a:alpha val="0"/>
                  </a:schemeClr>
                </a:solidFill>
              </a:ln>
            </c:spPr>
            <c:extLst>
              <c:ext xmlns:c16="http://schemas.microsoft.com/office/drawing/2014/chart" uri="{C3380CC4-5D6E-409C-BE32-E72D297353CC}">
                <c16:uniqueId val="{00000001-36A0-FC49-93E1-DB844C5FCE2B}"/>
              </c:ext>
            </c:extLst>
          </c:dPt>
          <c:dPt>
            <c:idx val="1"/>
            <c:bubble3D val="0"/>
            <c:spPr>
              <a:solidFill>
                <a:schemeClr val="accent1">
                  <a:lumMod val="60000"/>
                  <a:lumOff val="40000"/>
                </a:schemeClr>
              </a:solidFill>
              <a:ln>
                <a:solidFill>
                  <a:schemeClr val="tx1">
                    <a:lumMod val="75000"/>
                    <a:lumOff val="25000"/>
                    <a:alpha val="0"/>
                  </a:schemeClr>
                </a:solidFill>
              </a:ln>
            </c:spPr>
            <c:extLst>
              <c:ext xmlns:c16="http://schemas.microsoft.com/office/drawing/2014/chart" uri="{C3380CC4-5D6E-409C-BE32-E72D297353CC}">
                <c16:uniqueId val="{00000003-36A0-FC49-93E1-DB844C5FCE2B}"/>
              </c:ext>
            </c:extLst>
          </c:dPt>
          <c:dPt>
            <c:idx val="2"/>
            <c:bubble3D val="0"/>
            <c:spPr>
              <a:solidFill>
                <a:schemeClr val="accent1">
                  <a:lumMod val="40000"/>
                  <a:lumOff val="60000"/>
                </a:schemeClr>
              </a:solidFill>
              <a:ln>
                <a:solidFill>
                  <a:schemeClr val="tx1">
                    <a:lumMod val="75000"/>
                    <a:lumOff val="25000"/>
                    <a:alpha val="0"/>
                  </a:schemeClr>
                </a:solidFill>
              </a:ln>
            </c:spPr>
            <c:extLst>
              <c:ext xmlns:c16="http://schemas.microsoft.com/office/drawing/2014/chart" uri="{C3380CC4-5D6E-409C-BE32-E72D297353CC}">
                <c16:uniqueId val="{00000005-36A0-FC49-93E1-DB844C5FCE2B}"/>
              </c:ext>
            </c:extLst>
          </c:dPt>
          <c:dPt>
            <c:idx val="3"/>
            <c:bubble3D val="0"/>
            <c:spPr>
              <a:solidFill>
                <a:schemeClr val="accent1">
                  <a:lumMod val="20000"/>
                  <a:lumOff val="80000"/>
                </a:schemeClr>
              </a:solidFill>
              <a:ln>
                <a:solidFill>
                  <a:schemeClr val="tx1">
                    <a:lumMod val="75000"/>
                    <a:lumOff val="25000"/>
                    <a:alpha val="0"/>
                  </a:schemeClr>
                </a:solidFill>
              </a:ln>
            </c:spPr>
            <c:extLst>
              <c:ext xmlns:c16="http://schemas.microsoft.com/office/drawing/2014/chart" uri="{C3380CC4-5D6E-409C-BE32-E72D297353CC}">
                <c16:uniqueId val="{00000007-36A0-FC49-93E1-DB844C5FCE2B}"/>
              </c:ext>
            </c:extLst>
          </c:dPt>
          <c:dLbls>
            <c:spPr>
              <a:noFill/>
              <a:ln>
                <a:noFill/>
              </a:ln>
              <a:effectLst/>
            </c:spPr>
            <c:txPr>
              <a:bodyPr/>
              <a:lstStyle/>
              <a:p>
                <a:pPr>
                  <a:defRPr sz="1200" b="1" i="1">
                    <a:solidFill>
                      <a:srgbClr val="404040"/>
                    </a:solidFill>
                  </a:defRPr>
                </a:pPr>
                <a:endParaRPr lang="en-CH"/>
              </a:p>
            </c:txPr>
            <c:showLegendKey val="0"/>
            <c:showVal val="0"/>
            <c:showCatName val="1"/>
            <c:showSerName val="0"/>
            <c:showPercent val="1"/>
            <c:showBubbleSize val="0"/>
            <c:showLeaderLines val="1"/>
            <c:extLst>
              <c:ext xmlns:c15="http://schemas.microsoft.com/office/drawing/2012/chart" uri="{CE6537A1-D6FC-4f65-9D91-7224C49458BB}"/>
            </c:extLst>
          </c:dLbls>
          <c:cat>
            <c:numRef>
              <c:f>('EU MDM-832'!$D$8,'EU MDM-832'!$F$8,'EU MDM-832'!$H$8,'EU MDM-832'!$J$8)</c:f>
              <c:numCache>
                <c:formatCode>General</c:formatCode>
                <c:ptCount val="4"/>
                <c:pt idx="0">
                  <c:v>1</c:v>
                </c:pt>
                <c:pt idx="1">
                  <c:v>2</c:v>
                </c:pt>
                <c:pt idx="2">
                  <c:v>3</c:v>
                </c:pt>
                <c:pt idx="3">
                  <c:v>4</c:v>
                </c:pt>
              </c:numCache>
            </c:numRef>
          </c:cat>
          <c:val>
            <c:numRef>
              <c:f>('EU MDM-832'!$D$166,'EU MDM-832'!$F$166,'EU MDM-832'!$H$166,'EU MDM-832'!$J$166)</c:f>
              <c:numCache>
                <c:formatCode>0.0</c:formatCode>
                <c:ptCount val="4"/>
                <c:pt idx="0">
                  <c:v>1.1000000000000001</c:v>
                </c:pt>
                <c:pt idx="1">
                  <c:v>1.1000000000000001</c:v>
                </c:pt>
                <c:pt idx="2">
                  <c:v>1.1000000000000001</c:v>
                </c:pt>
                <c:pt idx="3">
                  <c:v>1.1000000000000001</c:v>
                </c:pt>
              </c:numCache>
            </c:numRef>
          </c:val>
          <c:extLst>
            <c:ext xmlns:c16="http://schemas.microsoft.com/office/drawing/2014/chart" uri="{C3380CC4-5D6E-409C-BE32-E72D297353CC}">
              <c16:uniqueId val="{00000008-36A0-FC49-93E1-DB844C5FCE2B}"/>
            </c:ext>
          </c:extLst>
        </c:ser>
        <c:dLbls>
          <c:showLegendKey val="0"/>
          <c:showVal val="0"/>
          <c:showCatName val="0"/>
          <c:showSerName val="0"/>
          <c:showPercent val="1"/>
          <c:showBubbleSize val="0"/>
          <c:showLeaderLines val="1"/>
        </c:dLbls>
        <c:firstSliceAng val="0"/>
      </c:pieChart>
    </c:plotArea>
    <c:plotVisOnly val="1"/>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lrMapOvr bg1="lt1" tx1="dk1" bg2="lt2" tx2="dk2" accent1="accent1" accent2="accent2" accent3="accent3" accent4="accent4" accent5="accent5" accent6="accent6" hlink="hlink" folHlink="folHlink"/>
  <c:chart>
    <c:title>
      <c:tx>
        <c:rich>
          <a:bodyPr/>
          <a:lstStyle/>
          <a:p>
            <a:pPr>
              <a:defRPr sz="1200">
                <a:solidFill>
                  <a:schemeClr val="bg1"/>
                </a:solidFill>
              </a:defRPr>
            </a:pPr>
            <a:r>
              <a:rPr lang="en-US" sz="1200">
                <a:solidFill>
                  <a:schemeClr val="bg1"/>
                </a:solidFill>
              </a:rPr>
              <a:t>Breaker 2 branches</a:t>
            </a:r>
          </a:p>
        </c:rich>
      </c:tx>
      <c:overlay val="0"/>
    </c:title>
    <c:autoTitleDeleted val="0"/>
    <c:plotArea>
      <c:layout/>
      <c:pieChart>
        <c:varyColors val="1"/>
        <c:ser>
          <c:idx val="0"/>
          <c:order val="0"/>
          <c:spPr>
            <a:ln>
              <a:solidFill>
                <a:schemeClr val="tx1">
                  <a:lumMod val="75000"/>
                  <a:lumOff val="25000"/>
                  <a:alpha val="0"/>
                </a:schemeClr>
              </a:solidFill>
            </a:ln>
          </c:spPr>
          <c:dPt>
            <c:idx val="0"/>
            <c:bubble3D val="0"/>
            <c:spPr>
              <a:solidFill>
                <a:schemeClr val="accent1">
                  <a:lumMod val="75000"/>
                </a:schemeClr>
              </a:solidFill>
              <a:ln>
                <a:solidFill>
                  <a:schemeClr val="tx1">
                    <a:lumMod val="75000"/>
                    <a:lumOff val="25000"/>
                    <a:alpha val="0"/>
                  </a:schemeClr>
                </a:solidFill>
              </a:ln>
            </c:spPr>
            <c:extLst>
              <c:ext xmlns:c16="http://schemas.microsoft.com/office/drawing/2014/chart" uri="{C3380CC4-5D6E-409C-BE32-E72D297353CC}">
                <c16:uniqueId val="{00000001-3D4A-EC4B-A930-7CCDCA1AE640}"/>
              </c:ext>
            </c:extLst>
          </c:dPt>
          <c:dPt>
            <c:idx val="1"/>
            <c:bubble3D val="0"/>
            <c:spPr>
              <a:solidFill>
                <a:schemeClr val="accent1">
                  <a:lumMod val="60000"/>
                  <a:lumOff val="40000"/>
                </a:schemeClr>
              </a:solidFill>
              <a:ln>
                <a:solidFill>
                  <a:schemeClr val="tx1">
                    <a:lumMod val="75000"/>
                    <a:lumOff val="25000"/>
                    <a:alpha val="0"/>
                  </a:schemeClr>
                </a:solidFill>
              </a:ln>
            </c:spPr>
            <c:extLst>
              <c:ext xmlns:c16="http://schemas.microsoft.com/office/drawing/2014/chart" uri="{C3380CC4-5D6E-409C-BE32-E72D297353CC}">
                <c16:uniqueId val="{00000003-3D4A-EC4B-A930-7CCDCA1AE640}"/>
              </c:ext>
            </c:extLst>
          </c:dPt>
          <c:dPt>
            <c:idx val="2"/>
            <c:bubble3D val="0"/>
            <c:spPr>
              <a:solidFill>
                <a:schemeClr val="accent1">
                  <a:lumMod val="40000"/>
                  <a:lumOff val="60000"/>
                </a:schemeClr>
              </a:solidFill>
              <a:ln>
                <a:solidFill>
                  <a:schemeClr val="tx1">
                    <a:lumMod val="75000"/>
                    <a:lumOff val="25000"/>
                    <a:alpha val="0"/>
                  </a:schemeClr>
                </a:solidFill>
              </a:ln>
            </c:spPr>
            <c:extLst>
              <c:ext xmlns:c16="http://schemas.microsoft.com/office/drawing/2014/chart" uri="{C3380CC4-5D6E-409C-BE32-E72D297353CC}">
                <c16:uniqueId val="{00000005-3D4A-EC4B-A930-7CCDCA1AE640}"/>
              </c:ext>
            </c:extLst>
          </c:dPt>
          <c:dPt>
            <c:idx val="3"/>
            <c:bubble3D val="0"/>
            <c:spPr>
              <a:solidFill>
                <a:schemeClr val="accent1">
                  <a:lumMod val="20000"/>
                  <a:lumOff val="80000"/>
                </a:schemeClr>
              </a:solidFill>
              <a:ln>
                <a:solidFill>
                  <a:schemeClr val="tx1">
                    <a:lumMod val="75000"/>
                    <a:lumOff val="25000"/>
                    <a:alpha val="0"/>
                  </a:schemeClr>
                </a:solidFill>
              </a:ln>
            </c:spPr>
            <c:extLst>
              <c:ext xmlns:c16="http://schemas.microsoft.com/office/drawing/2014/chart" uri="{C3380CC4-5D6E-409C-BE32-E72D297353CC}">
                <c16:uniqueId val="{00000007-3D4A-EC4B-A930-7CCDCA1AE640}"/>
              </c:ext>
            </c:extLst>
          </c:dPt>
          <c:dLbls>
            <c:spPr>
              <a:noFill/>
              <a:ln>
                <a:noFill/>
              </a:ln>
              <a:effectLst/>
            </c:spPr>
            <c:txPr>
              <a:bodyPr/>
              <a:lstStyle/>
              <a:p>
                <a:pPr>
                  <a:defRPr sz="1200" b="1" i="1">
                    <a:solidFill>
                      <a:srgbClr val="404040"/>
                    </a:solidFill>
                  </a:defRPr>
                </a:pPr>
                <a:endParaRPr lang="en-CH"/>
              </a:p>
            </c:txPr>
            <c:showLegendKey val="0"/>
            <c:showVal val="0"/>
            <c:showCatName val="1"/>
            <c:showSerName val="0"/>
            <c:showPercent val="1"/>
            <c:showBubbleSize val="0"/>
            <c:showLeaderLines val="1"/>
            <c:extLst>
              <c:ext xmlns:c15="http://schemas.microsoft.com/office/drawing/2012/chart" uri="{CE6537A1-D6FC-4f65-9D91-7224C49458BB}"/>
            </c:extLst>
          </c:dLbls>
          <c:cat>
            <c:numRef>
              <c:f>('EU MDM-832'!$L$8,'EU MDM-832'!$N$8,'EU MDM-832'!$P$8,'EU MDM-832'!$R$8)</c:f>
              <c:numCache>
                <c:formatCode>General</c:formatCode>
                <c:ptCount val="4"/>
                <c:pt idx="0">
                  <c:v>5</c:v>
                </c:pt>
                <c:pt idx="1">
                  <c:v>6</c:v>
                </c:pt>
                <c:pt idx="2">
                  <c:v>7</c:v>
                </c:pt>
                <c:pt idx="3">
                  <c:v>8</c:v>
                </c:pt>
              </c:numCache>
            </c:numRef>
          </c:cat>
          <c:val>
            <c:numRef>
              <c:f>('EU MDM-832'!$L$166,'EU MDM-832'!$N$166,'EU MDM-832'!$P$166,'EU MDM-832'!$R$166)</c:f>
              <c:numCache>
                <c:formatCode>0.0</c:formatCode>
                <c:ptCount val="4"/>
                <c:pt idx="0">
                  <c:v>1.1000000000000001</c:v>
                </c:pt>
                <c:pt idx="1">
                  <c:v>1.1000000000000001</c:v>
                </c:pt>
                <c:pt idx="2">
                  <c:v>1.1000000000000001</c:v>
                </c:pt>
                <c:pt idx="3">
                  <c:v>1.1000000000000001</c:v>
                </c:pt>
              </c:numCache>
            </c:numRef>
          </c:val>
          <c:extLst>
            <c:ext xmlns:c16="http://schemas.microsoft.com/office/drawing/2014/chart" uri="{C3380CC4-5D6E-409C-BE32-E72D297353CC}">
              <c16:uniqueId val="{00000008-3D4A-EC4B-A930-7CCDCA1AE640}"/>
            </c:ext>
          </c:extLst>
        </c:ser>
        <c:dLbls>
          <c:showLegendKey val="0"/>
          <c:showVal val="0"/>
          <c:showCatName val="0"/>
          <c:showSerName val="0"/>
          <c:showPercent val="1"/>
          <c:showBubbleSize val="0"/>
          <c:showLeaderLines val="1"/>
        </c:dLbls>
        <c:firstSliceAng val="0"/>
      </c:pieChart>
    </c:plotArea>
    <c:plotVisOnly val="1"/>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lIns="2">
            <a:spAutoFit/>
          </a:bodyPr>
          <a:lstStyle/>
          <a:p>
            <a:pPr>
              <a:defRPr sz="1200">
                <a:solidFill>
                  <a:srgbClr val="FFFFFF"/>
                </a:solidFill>
              </a:defRPr>
            </a:pPr>
            <a:r>
              <a:rPr lang="en-US" sz="1200">
                <a:solidFill>
                  <a:srgbClr val="FFFFFF"/>
                </a:solidFill>
              </a:rPr>
              <a:t>Inlet</a:t>
            </a:r>
            <a:r>
              <a:rPr lang="en-US" sz="1200" baseline="0">
                <a:solidFill>
                  <a:srgbClr val="FFFFFF"/>
                </a:solidFill>
              </a:rPr>
              <a:t> Usage </a:t>
            </a:r>
          </a:p>
          <a:p>
            <a:pPr>
              <a:defRPr sz="1200">
                <a:solidFill>
                  <a:srgbClr val="FFFFFF"/>
                </a:solidFill>
              </a:defRPr>
            </a:pPr>
            <a:r>
              <a:rPr lang="en-US" sz="1200" baseline="0">
                <a:solidFill>
                  <a:srgbClr val="FFFFFF"/>
                </a:solidFill>
              </a:rPr>
              <a:t>MLTC +30% in %</a:t>
            </a:r>
          </a:p>
        </c:rich>
      </c:tx>
      <c:layout>
        <c:manualLayout>
          <c:xMode val="edge"/>
          <c:yMode val="edge"/>
          <c:x val="0.14041013351591899"/>
          <c:y val="4.8076923076923097E-3"/>
        </c:manualLayout>
      </c:layout>
      <c:overlay val="0"/>
    </c:title>
    <c:autoTitleDeleted val="0"/>
    <c:plotArea>
      <c:layout>
        <c:manualLayout>
          <c:layoutTarget val="inner"/>
          <c:xMode val="edge"/>
          <c:yMode val="edge"/>
          <c:x val="0.28618969219756601"/>
          <c:y val="0.172115384615385"/>
          <c:w val="0.59562848962061599"/>
          <c:h val="0.70602589339794097"/>
        </c:manualLayout>
      </c:layout>
      <c:barChart>
        <c:barDir val="col"/>
        <c:grouping val="stacked"/>
        <c:varyColors val="0"/>
        <c:ser>
          <c:idx val="0"/>
          <c:order val="0"/>
          <c:invertIfNegative val="0"/>
          <c:dLbls>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MDM-832'!$X$222</c:f>
              <c:numCache>
                <c:formatCode>General</c:formatCode>
                <c:ptCount val="1"/>
                <c:pt idx="0">
                  <c:v>35.75</c:v>
                </c:pt>
              </c:numCache>
            </c:numRef>
          </c:val>
          <c:extLst>
            <c:ext xmlns:c16="http://schemas.microsoft.com/office/drawing/2014/chart" uri="{C3380CC4-5D6E-409C-BE32-E72D297353CC}">
              <c16:uniqueId val="{00000000-307B-E54D-BD60-5097FD57BAC7}"/>
            </c:ext>
          </c:extLst>
        </c:ser>
        <c:ser>
          <c:idx val="1"/>
          <c:order val="1"/>
          <c:invertIfNegative val="0"/>
          <c:val>
            <c:numRef>
              <c:f>'EU MDM-832'!$X$223</c:f>
              <c:numCache>
                <c:formatCode>General</c:formatCode>
                <c:ptCount val="1"/>
                <c:pt idx="0">
                  <c:v>#N/A</c:v>
                </c:pt>
              </c:numCache>
            </c:numRef>
          </c:val>
          <c:extLst>
            <c:ext xmlns:c16="http://schemas.microsoft.com/office/drawing/2014/chart" uri="{C3380CC4-5D6E-409C-BE32-E72D297353CC}">
              <c16:uniqueId val="{00000001-307B-E54D-BD60-5097FD57BAC7}"/>
            </c:ext>
          </c:extLst>
        </c:ser>
        <c:dLbls>
          <c:showLegendKey val="0"/>
          <c:showVal val="0"/>
          <c:showCatName val="0"/>
          <c:showSerName val="0"/>
          <c:showPercent val="0"/>
          <c:showBubbleSize val="0"/>
        </c:dLbls>
        <c:gapWidth val="15"/>
        <c:overlap val="100"/>
        <c:axId val="693280544"/>
        <c:axId val="693282864"/>
      </c:barChart>
      <c:catAx>
        <c:axId val="693280544"/>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693282864"/>
        <c:crosses val="autoZero"/>
        <c:auto val="1"/>
        <c:lblAlgn val="ctr"/>
        <c:lblOffset val="100"/>
        <c:noMultiLvlLbl val="0"/>
      </c:catAx>
      <c:valAx>
        <c:axId val="693282864"/>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693280544"/>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rgbClr val="FFFFFF"/>
                </a:solidFill>
              </a:defRPr>
            </a:pPr>
            <a:r>
              <a:rPr lang="en-US" sz="1200">
                <a:solidFill>
                  <a:srgbClr val="FFFFFF"/>
                </a:solidFill>
              </a:rPr>
              <a:t>Cable</a:t>
            </a:r>
            <a:r>
              <a:rPr lang="en-US" sz="1200" baseline="0">
                <a:solidFill>
                  <a:srgbClr val="FFFFFF"/>
                </a:solidFill>
              </a:rPr>
              <a:t> loss %</a:t>
            </a:r>
          </a:p>
        </c:rich>
      </c:tx>
      <c:overlay val="0"/>
    </c:title>
    <c:autoTitleDeleted val="0"/>
    <c:plotArea>
      <c:layout/>
      <c:barChart>
        <c:barDir val="col"/>
        <c:grouping val="stacked"/>
        <c:varyColors val="0"/>
        <c:ser>
          <c:idx val="0"/>
          <c:order val="0"/>
          <c:invertIfNegative val="0"/>
          <c:val>
            <c:numRef>
              <c:f>'EU MDM-832'!$AC$222:$AJ$222</c:f>
              <c:numCache>
                <c:formatCode>General</c:formatCode>
                <c:ptCount val="8"/>
                <c:pt idx="0">
                  <c:v>-0.30104302614689882</c:v>
                </c:pt>
                <c:pt idx="1">
                  <c:v>-0.30104302614689882</c:v>
                </c:pt>
                <c:pt idx="2">
                  <c:v>-0.30104302614689882</c:v>
                </c:pt>
                <c:pt idx="3">
                  <c:v>-0.30104302614689882</c:v>
                </c:pt>
                <c:pt idx="4">
                  <c:v>-0.30104302614689882</c:v>
                </c:pt>
                <c:pt idx="5">
                  <c:v>-0.30104302614689882</c:v>
                </c:pt>
                <c:pt idx="6">
                  <c:v>-0.30104302614689882</c:v>
                </c:pt>
                <c:pt idx="7">
                  <c:v>-0.30104302614689882</c:v>
                </c:pt>
              </c:numCache>
            </c:numRef>
          </c:val>
          <c:extLst>
            <c:ext xmlns:c16="http://schemas.microsoft.com/office/drawing/2014/chart" uri="{C3380CC4-5D6E-409C-BE32-E72D297353CC}">
              <c16:uniqueId val="{00000000-B6D9-944C-9CEF-8D2E96F1A5CD}"/>
            </c:ext>
          </c:extLst>
        </c:ser>
        <c:ser>
          <c:idx val="1"/>
          <c:order val="1"/>
          <c:invertIfNegative val="0"/>
          <c:val>
            <c:numRef>
              <c:f>'EU MDM-832'!$AC$223:$AJ$223</c:f>
              <c:numCache>
                <c:formatCode>General</c:formatCode>
                <c:ptCount val="8"/>
                <c:pt idx="0">
                  <c:v>#N/A</c:v>
                </c:pt>
                <c:pt idx="1">
                  <c:v>#N/A</c:v>
                </c:pt>
                <c:pt idx="2">
                  <c:v>#N/A</c:v>
                </c:pt>
                <c:pt idx="3">
                  <c:v>#N/A</c:v>
                </c:pt>
                <c:pt idx="4">
                  <c:v>#N/A</c:v>
                </c:pt>
                <c:pt idx="5">
                  <c:v>#N/A</c:v>
                </c:pt>
                <c:pt idx="6">
                  <c:v>#N/A</c:v>
                </c:pt>
                <c:pt idx="7">
                  <c:v>#N/A</c:v>
                </c:pt>
              </c:numCache>
            </c:numRef>
          </c:val>
          <c:extLst>
            <c:ext xmlns:c16="http://schemas.microsoft.com/office/drawing/2014/chart" uri="{C3380CC4-5D6E-409C-BE32-E72D297353CC}">
              <c16:uniqueId val="{00000001-B6D9-944C-9CEF-8D2E96F1A5CD}"/>
            </c:ext>
          </c:extLst>
        </c:ser>
        <c:dLbls>
          <c:showLegendKey val="0"/>
          <c:showVal val="0"/>
          <c:showCatName val="0"/>
          <c:showSerName val="0"/>
          <c:showPercent val="0"/>
          <c:showBubbleSize val="0"/>
        </c:dLbls>
        <c:gapWidth val="0"/>
        <c:overlap val="100"/>
        <c:axId val="9094992"/>
        <c:axId val="9097312"/>
      </c:barChart>
      <c:catAx>
        <c:axId val="9094992"/>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9097312"/>
        <c:crosses val="autoZero"/>
        <c:auto val="1"/>
        <c:lblAlgn val="ctr"/>
        <c:lblOffset val="100"/>
        <c:noMultiLvlLbl val="0"/>
      </c:catAx>
      <c:valAx>
        <c:axId val="9097312"/>
        <c:scaling>
          <c:orientation val="minMax"/>
          <c:max val="0"/>
          <c:min val="-1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9094992"/>
        <c:crosses val="autoZero"/>
        <c:crossBetween val="between"/>
      </c:valAx>
      <c:spPr>
        <a:noFill/>
        <a:ln w="25400">
          <a:noFill/>
        </a:ln>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solidFill>
                  <a:srgbClr val="FFFFFF"/>
                </a:solidFill>
              </a:defRPr>
            </a:pPr>
            <a:r>
              <a:rPr lang="en-US" sz="1200">
                <a:solidFill>
                  <a:srgbClr val="FFFFFF"/>
                </a:solidFill>
              </a:rPr>
              <a:t>Output Breaker</a:t>
            </a:r>
            <a:r>
              <a:rPr lang="en-US" sz="1200" baseline="0">
                <a:solidFill>
                  <a:srgbClr val="FFFFFF"/>
                </a:solidFill>
              </a:rPr>
              <a:t> load</a:t>
            </a:r>
          </a:p>
          <a:p>
            <a:pPr>
              <a:defRPr>
                <a:solidFill>
                  <a:srgbClr val="FFFFFF"/>
                </a:solidFill>
              </a:defRPr>
            </a:pPr>
            <a:r>
              <a:rPr lang="en-US" sz="1200" baseline="0">
                <a:solidFill>
                  <a:srgbClr val="FFFFFF"/>
                </a:solidFill>
              </a:rPr>
              <a:t>MLTC in %</a:t>
            </a:r>
            <a:endParaRPr lang="en-US" sz="1200">
              <a:solidFill>
                <a:srgbClr val="FFFFFF"/>
              </a:solidFill>
            </a:endParaRPr>
          </a:p>
        </c:rich>
      </c:tx>
      <c:layout>
        <c:manualLayout>
          <c:xMode val="edge"/>
          <c:yMode val="edge"/>
          <c:x val="0.14250039109349699"/>
          <c:y val="1.44578313253012E-2"/>
        </c:manualLayout>
      </c:layout>
      <c:overlay val="0"/>
    </c:title>
    <c:autoTitleDeleted val="0"/>
    <c:plotArea>
      <c:layout>
        <c:manualLayout>
          <c:layoutTarget val="inner"/>
          <c:xMode val="edge"/>
          <c:yMode val="edge"/>
          <c:x val="0.20848255723001499"/>
          <c:y val="0.218795180722892"/>
          <c:w val="0.70542472753819696"/>
          <c:h val="0.65905246181576704"/>
        </c:manualLayout>
      </c:layout>
      <c:barChart>
        <c:barDir val="col"/>
        <c:grouping val="stacked"/>
        <c:varyColors val="0"/>
        <c:ser>
          <c:idx val="0"/>
          <c:order val="0"/>
          <c:invertIfNegative val="0"/>
          <c:dLbls>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MDM-832'!$Y$222:$Z$222</c:f>
              <c:numCache>
                <c:formatCode>General</c:formatCode>
                <c:ptCount val="2"/>
                <c:pt idx="0">
                  <c:v>29.333333333333336</c:v>
                </c:pt>
                <c:pt idx="1">
                  <c:v>29.333333333333336</c:v>
                </c:pt>
              </c:numCache>
            </c:numRef>
          </c:val>
          <c:extLst>
            <c:ext xmlns:c16="http://schemas.microsoft.com/office/drawing/2014/chart" uri="{C3380CC4-5D6E-409C-BE32-E72D297353CC}">
              <c16:uniqueId val="{00000000-6535-2F42-BB44-95716EBC6198}"/>
            </c:ext>
          </c:extLst>
        </c:ser>
        <c:ser>
          <c:idx val="1"/>
          <c:order val="1"/>
          <c:invertIfNegative val="0"/>
          <c:val>
            <c:numRef>
              <c:f>'EU MDM-832'!$Y$223:$Z$223</c:f>
              <c:numCache>
                <c:formatCode>General</c:formatCode>
                <c:ptCount val="2"/>
                <c:pt idx="0">
                  <c:v>#N/A</c:v>
                </c:pt>
                <c:pt idx="1">
                  <c:v>#N/A</c:v>
                </c:pt>
              </c:numCache>
            </c:numRef>
          </c:val>
          <c:extLst>
            <c:ext xmlns:c16="http://schemas.microsoft.com/office/drawing/2014/chart" uri="{C3380CC4-5D6E-409C-BE32-E72D297353CC}">
              <c16:uniqueId val="{00000001-6535-2F42-BB44-95716EBC6198}"/>
            </c:ext>
          </c:extLst>
        </c:ser>
        <c:dLbls>
          <c:showLegendKey val="0"/>
          <c:showVal val="0"/>
          <c:showCatName val="0"/>
          <c:showSerName val="0"/>
          <c:showPercent val="0"/>
          <c:showBubbleSize val="0"/>
        </c:dLbls>
        <c:gapWidth val="15"/>
        <c:overlap val="100"/>
        <c:axId val="-24861520"/>
        <c:axId val="-24859200"/>
      </c:barChart>
      <c:catAx>
        <c:axId val="-24861520"/>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24859200"/>
        <c:crosses val="autoZero"/>
        <c:auto val="1"/>
        <c:lblAlgn val="ctr"/>
        <c:lblOffset val="100"/>
        <c:noMultiLvlLbl val="0"/>
      </c:catAx>
      <c:valAx>
        <c:axId val="-24859200"/>
        <c:scaling>
          <c:orientation val="minMax"/>
          <c:max val="12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24861520"/>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chemeClr val="bg1"/>
                </a:solidFill>
              </a:defRPr>
            </a:pPr>
            <a:r>
              <a:rPr lang="en-US" sz="1200">
                <a:solidFill>
                  <a:schemeClr val="bg1"/>
                </a:solidFill>
              </a:rPr>
              <a:t>Branch Balance</a:t>
            </a:r>
            <a:r>
              <a:rPr lang="en-US" sz="1200" baseline="0">
                <a:solidFill>
                  <a:schemeClr val="bg1"/>
                </a:solidFill>
              </a:rPr>
              <a:t> MLTC %</a:t>
            </a:r>
          </a:p>
        </c:rich>
      </c:tx>
      <c:overlay val="0"/>
    </c:title>
    <c:autoTitleDeleted val="0"/>
    <c:plotArea>
      <c:layout/>
      <c:barChart>
        <c:barDir val="col"/>
        <c:grouping val="stacked"/>
        <c:varyColors val="0"/>
        <c:ser>
          <c:idx val="0"/>
          <c:order val="0"/>
          <c:invertIfNegative val="0"/>
          <c:dLbls>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MDM-5000'!$Y$29:$AD$29</c:f>
              <c:numCache>
                <c:formatCode>General</c:formatCode>
                <c:ptCount val="6"/>
                <c:pt idx="0">
                  <c:v>65.25</c:v>
                </c:pt>
                <c:pt idx="1">
                  <c:v>65.25</c:v>
                </c:pt>
                <c:pt idx="2">
                  <c:v>65.25</c:v>
                </c:pt>
                <c:pt idx="3">
                  <c:v>84.375</c:v>
                </c:pt>
                <c:pt idx="4">
                  <c:v>84.375</c:v>
                </c:pt>
                <c:pt idx="5">
                  <c:v>84.375</c:v>
                </c:pt>
              </c:numCache>
            </c:numRef>
          </c:val>
          <c:extLst>
            <c:ext xmlns:c16="http://schemas.microsoft.com/office/drawing/2014/chart" uri="{C3380CC4-5D6E-409C-BE32-E72D297353CC}">
              <c16:uniqueId val="{00000000-E502-1E49-A2E8-E77D96ADC3D7}"/>
            </c:ext>
          </c:extLst>
        </c:ser>
        <c:ser>
          <c:idx val="1"/>
          <c:order val="1"/>
          <c:invertIfNegative val="0"/>
          <c:val>
            <c:numRef>
              <c:f>'EU MDM-5000'!$Y$30:$AD$30</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1-E502-1E49-A2E8-E77D96ADC3D7}"/>
            </c:ext>
          </c:extLst>
        </c:ser>
        <c:dLbls>
          <c:showLegendKey val="0"/>
          <c:showVal val="0"/>
          <c:showCatName val="0"/>
          <c:showSerName val="0"/>
          <c:showPercent val="0"/>
          <c:showBubbleSize val="0"/>
        </c:dLbls>
        <c:gapWidth val="15"/>
        <c:overlap val="100"/>
        <c:axId val="-14089104"/>
        <c:axId val="-14087328"/>
      </c:barChart>
      <c:catAx>
        <c:axId val="-14089104"/>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14087328"/>
        <c:crosses val="autoZero"/>
        <c:auto val="1"/>
        <c:lblAlgn val="ctr"/>
        <c:lblOffset val="100"/>
        <c:noMultiLvlLbl val="0"/>
      </c:catAx>
      <c:valAx>
        <c:axId val="-14087328"/>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14089104"/>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lrMapOvr bg1="lt1" tx1="dk1" bg2="lt2" tx2="dk2" accent1="accent1" accent2="accent2" accent3="accent3" accent4="accent4" accent5="accent5" accent6="accent6" hlink="hlink" folHlink="folHlink"/>
  <c:chart>
    <c:title>
      <c:tx>
        <c:rich>
          <a:bodyPr/>
          <a:lstStyle/>
          <a:p>
            <a:pPr>
              <a:defRPr sz="1200">
                <a:solidFill>
                  <a:schemeClr val="bg1"/>
                </a:solidFill>
              </a:defRPr>
            </a:pPr>
            <a:r>
              <a:rPr lang="en-US" sz="1200">
                <a:solidFill>
                  <a:schemeClr val="bg1"/>
                </a:solidFill>
              </a:rPr>
              <a:t>Breaker 1 branches</a:t>
            </a:r>
          </a:p>
        </c:rich>
      </c:tx>
      <c:overlay val="0"/>
    </c:title>
    <c:autoTitleDeleted val="0"/>
    <c:plotArea>
      <c:layout/>
      <c:pieChart>
        <c:varyColors val="1"/>
        <c:ser>
          <c:idx val="0"/>
          <c:order val="0"/>
          <c:spPr>
            <a:ln>
              <a:solidFill>
                <a:schemeClr val="tx1">
                  <a:lumMod val="75000"/>
                  <a:lumOff val="25000"/>
                  <a:alpha val="0"/>
                </a:schemeClr>
              </a:solidFill>
            </a:ln>
          </c:spPr>
          <c:dPt>
            <c:idx val="0"/>
            <c:bubble3D val="0"/>
            <c:spPr>
              <a:solidFill>
                <a:schemeClr val="accent1">
                  <a:lumMod val="75000"/>
                </a:schemeClr>
              </a:solidFill>
              <a:ln>
                <a:solidFill>
                  <a:schemeClr val="tx1">
                    <a:lumMod val="75000"/>
                    <a:lumOff val="25000"/>
                    <a:alpha val="0"/>
                  </a:schemeClr>
                </a:solidFill>
              </a:ln>
            </c:spPr>
            <c:extLst>
              <c:ext xmlns:c16="http://schemas.microsoft.com/office/drawing/2014/chart" uri="{C3380CC4-5D6E-409C-BE32-E72D297353CC}">
                <c16:uniqueId val="{00000001-42DE-A440-848C-4F7BFEBDF8AE}"/>
              </c:ext>
            </c:extLst>
          </c:dPt>
          <c:dPt>
            <c:idx val="1"/>
            <c:bubble3D val="0"/>
            <c:spPr>
              <a:solidFill>
                <a:schemeClr val="accent1">
                  <a:lumMod val="60000"/>
                  <a:lumOff val="40000"/>
                </a:schemeClr>
              </a:solidFill>
              <a:ln>
                <a:solidFill>
                  <a:schemeClr val="tx1">
                    <a:lumMod val="75000"/>
                    <a:lumOff val="25000"/>
                    <a:alpha val="0"/>
                  </a:schemeClr>
                </a:solidFill>
              </a:ln>
            </c:spPr>
            <c:extLst>
              <c:ext xmlns:c16="http://schemas.microsoft.com/office/drawing/2014/chart" uri="{C3380CC4-5D6E-409C-BE32-E72D297353CC}">
                <c16:uniqueId val="{00000003-42DE-A440-848C-4F7BFEBDF8AE}"/>
              </c:ext>
            </c:extLst>
          </c:dPt>
          <c:dPt>
            <c:idx val="2"/>
            <c:bubble3D val="0"/>
            <c:spPr>
              <a:solidFill>
                <a:schemeClr val="accent1">
                  <a:lumMod val="40000"/>
                  <a:lumOff val="60000"/>
                </a:schemeClr>
              </a:solidFill>
              <a:ln>
                <a:solidFill>
                  <a:schemeClr val="tx1">
                    <a:lumMod val="75000"/>
                    <a:lumOff val="25000"/>
                    <a:alpha val="0"/>
                  </a:schemeClr>
                </a:solidFill>
              </a:ln>
            </c:spPr>
            <c:extLst>
              <c:ext xmlns:c16="http://schemas.microsoft.com/office/drawing/2014/chart" uri="{C3380CC4-5D6E-409C-BE32-E72D297353CC}">
                <c16:uniqueId val="{00000005-42DE-A440-848C-4F7BFEBDF8AE}"/>
              </c:ext>
            </c:extLst>
          </c:dPt>
          <c:dPt>
            <c:idx val="3"/>
            <c:bubble3D val="0"/>
            <c:spPr>
              <a:solidFill>
                <a:schemeClr val="accent1">
                  <a:lumMod val="20000"/>
                  <a:lumOff val="80000"/>
                </a:schemeClr>
              </a:solidFill>
              <a:ln>
                <a:solidFill>
                  <a:schemeClr val="tx1">
                    <a:lumMod val="75000"/>
                    <a:lumOff val="25000"/>
                    <a:alpha val="0"/>
                  </a:schemeClr>
                </a:solidFill>
              </a:ln>
            </c:spPr>
            <c:extLst>
              <c:ext xmlns:c16="http://schemas.microsoft.com/office/drawing/2014/chart" uri="{C3380CC4-5D6E-409C-BE32-E72D297353CC}">
                <c16:uniqueId val="{00000007-42DE-A440-848C-4F7BFEBDF8AE}"/>
              </c:ext>
            </c:extLst>
          </c:dPt>
          <c:dLbls>
            <c:spPr>
              <a:noFill/>
              <a:ln>
                <a:noFill/>
              </a:ln>
              <a:effectLst/>
            </c:spPr>
            <c:txPr>
              <a:bodyPr/>
              <a:lstStyle/>
              <a:p>
                <a:pPr>
                  <a:defRPr sz="1200" b="1" i="1">
                    <a:solidFill>
                      <a:srgbClr val="404040"/>
                    </a:solidFill>
                  </a:defRPr>
                </a:pPr>
                <a:endParaRPr lang="en-CH"/>
              </a:p>
            </c:txPr>
            <c:showLegendKey val="0"/>
            <c:showVal val="0"/>
            <c:showCatName val="1"/>
            <c:showSerName val="0"/>
            <c:showPercent val="1"/>
            <c:showBubbleSize val="0"/>
            <c:showLeaderLines val="1"/>
            <c:extLst>
              <c:ext xmlns:c15="http://schemas.microsoft.com/office/drawing/2012/chart" uri="{CE6537A1-D6FC-4f65-9D91-7224C49458BB}"/>
            </c:extLst>
          </c:dLbls>
          <c:cat>
            <c:numRef>
              <c:f>('EU MDM-832'!$D$8,'EU MDM-832'!$F$8,'EU MDM-832'!$H$8,'EU MDM-832'!$J$8)</c:f>
              <c:numCache>
                <c:formatCode>General</c:formatCode>
                <c:ptCount val="4"/>
                <c:pt idx="0">
                  <c:v>1</c:v>
                </c:pt>
                <c:pt idx="1">
                  <c:v>2</c:v>
                </c:pt>
                <c:pt idx="2">
                  <c:v>3</c:v>
                </c:pt>
                <c:pt idx="3">
                  <c:v>4</c:v>
                </c:pt>
              </c:numCache>
            </c:numRef>
          </c:cat>
          <c:val>
            <c:numRef>
              <c:f>('EU MDM-832'!$D$204,'EU MDM-832'!$F$204,'EU MDM-832'!$H$204,'EU MDM-832'!$J$204)</c:f>
              <c:numCache>
                <c:formatCode>0.0</c:formatCode>
                <c:ptCount val="4"/>
                <c:pt idx="0">
                  <c:v>1.1000000000000001</c:v>
                </c:pt>
                <c:pt idx="1">
                  <c:v>1.1000000000000001</c:v>
                </c:pt>
                <c:pt idx="2">
                  <c:v>1.1000000000000001</c:v>
                </c:pt>
                <c:pt idx="3">
                  <c:v>1.1000000000000001</c:v>
                </c:pt>
              </c:numCache>
            </c:numRef>
          </c:val>
          <c:extLst>
            <c:ext xmlns:c16="http://schemas.microsoft.com/office/drawing/2014/chart" uri="{C3380CC4-5D6E-409C-BE32-E72D297353CC}">
              <c16:uniqueId val="{00000008-42DE-A440-848C-4F7BFEBDF8AE}"/>
            </c:ext>
          </c:extLst>
        </c:ser>
        <c:dLbls>
          <c:showLegendKey val="0"/>
          <c:showVal val="0"/>
          <c:showCatName val="0"/>
          <c:showSerName val="0"/>
          <c:showPercent val="1"/>
          <c:showBubbleSize val="0"/>
          <c:showLeaderLines val="1"/>
        </c:dLbls>
        <c:firstSliceAng val="0"/>
      </c:pieChart>
    </c:plotArea>
    <c:plotVisOnly val="1"/>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lrMapOvr bg1="lt1" tx1="dk1" bg2="lt2" tx2="dk2" accent1="accent1" accent2="accent2" accent3="accent3" accent4="accent4" accent5="accent5" accent6="accent6" hlink="hlink" folHlink="folHlink"/>
  <c:chart>
    <c:title>
      <c:tx>
        <c:rich>
          <a:bodyPr/>
          <a:lstStyle/>
          <a:p>
            <a:pPr>
              <a:defRPr sz="1200">
                <a:solidFill>
                  <a:schemeClr val="bg1"/>
                </a:solidFill>
              </a:defRPr>
            </a:pPr>
            <a:r>
              <a:rPr lang="en-US" sz="1200">
                <a:solidFill>
                  <a:schemeClr val="bg1"/>
                </a:solidFill>
              </a:rPr>
              <a:t>Breaker 2 branches</a:t>
            </a:r>
          </a:p>
        </c:rich>
      </c:tx>
      <c:overlay val="0"/>
    </c:title>
    <c:autoTitleDeleted val="0"/>
    <c:plotArea>
      <c:layout/>
      <c:pieChart>
        <c:varyColors val="1"/>
        <c:ser>
          <c:idx val="0"/>
          <c:order val="0"/>
          <c:spPr>
            <a:ln>
              <a:solidFill>
                <a:schemeClr val="tx1">
                  <a:lumMod val="75000"/>
                  <a:lumOff val="25000"/>
                  <a:alpha val="0"/>
                </a:schemeClr>
              </a:solidFill>
            </a:ln>
          </c:spPr>
          <c:dPt>
            <c:idx val="0"/>
            <c:bubble3D val="0"/>
            <c:spPr>
              <a:solidFill>
                <a:schemeClr val="accent1">
                  <a:lumMod val="75000"/>
                </a:schemeClr>
              </a:solidFill>
              <a:ln>
                <a:solidFill>
                  <a:schemeClr val="tx1">
                    <a:lumMod val="75000"/>
                    <a:lumOff val="25000"/>
                    <a:alpha val="0"/>
                  </a:schemeClr>
                </a:solidFill>
              </a:ln>
            </c:spPr>
            <c:extLst>
              <c:ext xmlns:c16="http://schemas.microsoft.com/office/drawing/2014/chart" uri="{C3380CC4-5D6E-409C-BE32-E72D297353CC}">
                <c16:uniqueId val="{00000001-C904-4142-9296-BD3FEB4B76FB}"/>
              </c:ext>
            </c:extLst>
          </c:dPt>
          <c:dPt>
            <c:idx val="1"/>
            <c:bubble3D val="0"/>
            <c:spPr>
              <a:solidFill>
                <a:schemeClr val="accent1">
                  <a:lumMod val="60000"/>
                  <a:lumOff val="40000"/>
                </a:schemeClr>
              </a:solidFill>
              <a:ln>
                <a:solidFill>
                  <a:schemeClr val="tx1">
                    <a:lumMod val="75000"/>
                    <a:lumOff val="25000"/>
                    <a:alpha val="0"/>
                  </a:schemeClr>
                </a:solidFill>
              </a:ln>
            </c:spPr>
            <c:extLst>
              <c:ext xmlns:c16="http://schemas.microsoft.com/office/drawing/2014/chart" uri="{C3380CC4-5D6E-409C-BE32-E72D297353CC}">
                <c16:uniqueId val="{00000003-C904-4142-9296-BD3FEB4B76FB}"/>
              </c:ext>
            </c:extLst>
          </c:dPt>
          <c:dPt>
            <c:idx val="2"/>
            <c:bubble3D val="0"/>
            <c:spPr>
              <a:solidFill>
                <a:schemeClr val="accent1">
                  <a:lumMod val="40000"/>
                  <a:lumOff val="60000"/>
                </a:schemeClr>
              </a:solidFill>
              <a:ln>
                <a:solidFill>
                  <a:schemeClr val="tx1">
                    <a:lumMod val="75000"/>
                    <a:lumOff val="25000"/>
                    <a:alpha val="0"/>
                  </a:schemeClr>
                </a:solidFill>
              </a:ln>
            </c:spPr>
            <c:extLst>
              <c:ext xmlns:c16="http://schemas.microsoft.com/office/drawing/2014/chart" uri="{C3380CC4-5D6E-409C-BE32-E72D297353CC}">
                <c16:uniqueId val="{00000005-C904-4142-9296-BD3FEB4B76FB}"/>
              </c:ext>
            </c:extLst>
          </c:dPt>
          <c:dPt>
            <c:idx val="3"/>
            <c:bubble3D val="0"/>
            <c:spPr>
              <a:solidFill>
                <a:schemeClr val="accent1">
                  <a:lumMod val="20000"/>
                  <a:lumOff val="80000"/>
                </a:schemeClr>
              </a:solidFill>
              <a:ln>
                <a:solidFill>
                  <a:schemeClr val="tx1">
                    <a:lumMod val="75000"/>
                    <a:lumOff val="25000"/>
                    <a:alpha val="0"/>
                  </a:schemeClr>
                </a:solidFill>
              </a:ln>
            </c:spPr>
            <c:extLst>
              <c:ext xmlns:c16="http://schemas.microsoft.com/office/drawing/2014/chart" uri="{C3380CC4-5D6E-409C-BE32-E72D297353CC}">
                <c16:uniqueId val="{00000007-C904-4142-9296-BD3FEB4B76FB}"/>
              </c:ext>
            </c:extLst>
          </c:dPt>
          <c:dLbls>
            <c:spPr>
              <a:noFill/>
              <a:ln>
                <a:noFill/>
              </a:ln>
              <a:effectLst/>
            </c:spPr>
            <c:txPr>
              <a:bodyPr/>
              <a:lstStyle/>
              <a:p>
                <a:pPr>
                  <a:defRPr sz="1200" b="1" i="1">
                    <a:solidFill>
                      <a:srgbClr val="404040"/>
                    </a:solidFill>
                  </a:defRPr>
                </a:pPr>
                <a:endParaRPr lang="en-CH"/>
              </a:p>
            </c:txPr>
            <c:showLegendKey val="0"/>
            <c:showVal val="0"/>
            <c:showCatName val="1"/>
            <c:showSerName val="0"/>
            <c:showPercent val="1"/>
            <c:showBubbleSize val="0"/>
            <c:showLeaderLines val="1"/>
            <c:extLst>
              <c:ext xmlns:c15="http://schemas.microsoft.com/office/drawing/2012/chart" uri="{CE6537A1-D6FC-4f65-9D91-7224C49458BB}"/>
            </c:extLst>
          </c:dLbls>
          <c:cat>
            <c:numRef>
              <c:f>('EU MDM-832'!$L$8,'EU MDM-832'!$N$8,'EU MDM-832'!$P$8,'EU MDM-832'!$R$8)</c:f>
              <c:numCache>
                <c:formatCode>General</c:formatCode>
                <c:ptCount val="4"/>
                <c:pt idx="0">
                  <c:v>5</c:v>
                </c:pt>
                <c:pt idx="1">
                  <c:v>6</c:v>
                </c:pt>
                <c:pt idx="2">
                  <c:v>7</c:v>
                </c:pt>
                <c:pt idx="3">
                  <c:v>8</c:v>
                </c:pt>
              </c:numCache>
            </c:numRef>
          </c:cat>
          <c:val>
            <c:numRef>
              <c:f>('EU MDM-832'!$L$204,'EU MDM-832'!$N$204,'EU MDM-832'!$P$204,'EU MDM-832'!$R$204)</c:f>
              <c:numCache>
                <c:formatCode>0.0</c:formatCode>
                <c:ptCount val="4"/>
                <c:pt idx="0">
                  <c:v>1.1000000000000001</c:v>
                </c:pt>
                <c:pt idx="1">
                  <c:v>1.1000000000000001</c:v>
                </c:pt>
                <c:pt idx="2">
                  <c:v>1.1000000000000001</c:v>
                </c:pt>
                <c:pt idx="3">
                  <c:v>1.1000000000000001</c:v>
                </c:pt>
              </c:numCache>
            </c:numRef>
          </c:val>
          <c:extLst>
            <c:ext xmlns:c16="http://schemas.microsoft.com/office/drawing/2014/chart" uri="{C3380CC4-5D6E-409C-BE32-E72D297353CC}">
              <c16:uniqueId val="{00000008-C904-4142-9296-BD3FEB4B76FB}"/>
            </c:ext>
          </c:extLst>
        </c:ser>
        <c:dLbls>
          <c:showLegendKey val="0"/>
          <c:showVal val="0"/>
          <c:showCatName val="0"/>
          <c:showSerName val="0"/>
          <c:showPercent val="1"/>
          <c:showBubbleSize val="0"/>
          <c:showLeaderLines val="1"/>
        </c:dLbls>
        <c:firstSliceAng val="0"/>
      </c:pieChart>
    </c:plotArea>
    <c:plotVisOnly val="1"/>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pieChart>
        <c:varyColors val="1"/>
        <c:ser>
          <c:idx val="0"/>
          <c:order val="0"/>
          <c:dLbls>
            <c:numFmt formatCode="0.0%" sourceLinked="0"/>
            <c:spPr>
              <a:noFill/>
              <a:ln>
                <a:noFill/>
              </a:ln>
              <a:effectLst/>
            </c:spPr>
            <c:txPr>
              <a:bodyPr/>
              <a:lstStyle/>
              <a:p>
                <a:pPr>
                  <a:defRPr sz="1800"/>
                </a:pPr>
                <a:endParaRPr lang="en-CH"/>
              </a:p>
            </c:txPr>
            <c:dLblPos val="ctr"/>
            <c:showLegendKey val="0"/>
            <c:showVal val="0"/>
            <c:showCatName val="1"/>
            <c:showSerName val="0"/>
            <c:showPercent val="1"/>
            <c:showBubbleSize val="0"/>
            <c:showLeaderLines val="1"/>
            <c:extLst>
              <c:ext xmlns:c15="http://schemas.microsoft.com/office/drawing/2012/chart" uri="{CE6537A1-D6FC-4f65-9D91-7224C49458BB}"/>
            </c:extLst>
          </c:dLbls>
          <c:cat>
            <c:strRef>
              <c:f>'Master US'!$Q$1:$S$1</c:f>
              <c:strCache>
                <c:ptCount val="3"/>
                <c:pt idx="0">
                  <c:v>X</c:v>
                </c:pt>
                <c:pt idx="1">
                  <c:v>Y</c:v>
                </c:pt>
                <c:pt idx="2">
                  <c:v>Z</c:v>
                </c:pt>
              </c:strCache>
            </c:strRef>
          </c:cat>
          <c:val>
            <c:numRef>
              <c:f>'Master US'!$Q$2:$S$2</c:f>
              <c:numCache>
                <c:formatCode>#,##0.00</c:formatCode>
                <c:ptCount val="3"/>
                <c:pt idx="0">
                  <c:v>329.89666666666699</c:v>
                </c:pt>
                <c:pt idx="1">
                  <c:v>329.89666666666653</c:v>
                </c:pt>
                <c:pt idx="2">
                  <c:v>329.89666666666653</c:v>
                </c:pt>
              </c:numCache>
            </c:numRef>
          </c:val>
          <c:extLst>
            <c:ext xmlns:c16="http://schemas.microsoft.com/office/drawing/2014/chart" uri="{C3380CC4-5D6E-409C-BE32-E72D297353CC}">
              <c16:uniqueId val="{00000000-7E29-BF4A-8174-323425C4947F}"/>
            </c:ext>
          </c:extLst>
        </c:ser>
        <c:dLbls>
          <c:showLegendKey val="0"/>
          <c:showVal val="0"/>
          <c:showCatName val="0"/>
          <c:showSerName val="0"/>
          <c:showPercent val="0"/>
          <c:showBubbleSize val="0"/>
          <c:showLeaderLines val="1"/>
        </c:dLbls>
        <c:firstSliceAng val="0"/>
      </c:pieChart>
      <c:spPr>
        <a:noFill/>
        <a:ln>
          <a:noFill/>
        </a:ln>
      </c:spPr>
    </c:plotArea>
    <c:plotVisOnly val="0"/>
    <c:dispBlanksAs val="gap"/>
    <c:showDLblsOverMax val="0"/>
  </c:chart>
  <c:spPr>
    <a:noFill/>
    <a:ln>
      <a:noFill/>
    </a:ln>
  </c:spPr>
  <c:printSettings>
    <c:headerFooter/>
    <c:pageMargins b="1" l="0.75" r="0.75" t="1" header="0.5" footer="0.5"/>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autoTitleDeleted val="0"/>
    <c:plotArea>
      <c:layout/>
      <c:barChart>
        <c:barDir val="col"/>
        <c:grouping val="clustered"/>
        <c:varyColors val="0"/>
        <c:ser>
          <c:idx val="0"/>
          <c:order val="0"/>
          <c:spPr>
            <a:solidFill>
              <a:schemeClr val="accent4"/>
            </a:solidFill>
            <a:ln w="25400" cap="flat" cmpd="sng" algn="ctr">
              <a:solidFill>
                <a:schemeClr val="accent4">
                  <a:shade val="50000"/>
                </a:schemeClr>
              </a:solidFill>
              <a:prstDash val="solid"/>
            </a:ln>
            <a:effectLst/>
          </c:spPr>
          <c:invertIfNegative val="0"/>
          <c:cat>
            <c:strRef>
              <c:f>'Master US'!$Q$5:$V$5</c:f>
              <c:strCache>
                <c:ptCount val="6"/>
                <c:pt idx="0">
                  <c:v>X A</c:v>
                </c:pt>
                <c:pt idx="1">
                  <c:v>Y A</c:v>
                </c:pt>
                <c:pt idx="2">
                  <c:v>Z A</c:v>
                </c:pt>
                <c:pt idx="3">
                  <c:v>X B</c:v>
                </c:pt>
                <c:pt idx="4">
                  <c:v>Y B</c:v>
                </c:pt>
                <c:pt idx="5">
                  <c:v>Z B</c:v>
                </c:pt>
              </c:strCache>
            </c:strRef>
          </c:cat>
          <c:val>
            <c:numRef>
              <c:f>'Master US'!$Q$6:$V$6</c:f>
              <c:numCache>
                <c:formatCode>General</c:formatCode>
                <c:ptCount val="6"/>
                <c:pt idx="0">
                  <c:v>137.23333333333341</c:v>
                </c:pt>
                <c:pt idx="1">
                  <c:v>137.23333333333341</c:v>
                </c:pt>
                <c:pt idx="2">
                  <c:v>137.23333333333341</c:v>
                </c:pt>
                <c:pt idx="3">
                  <c:v>116.5333333333335</c:v>
                </c:pt>
                <c:pt idx="4">
                  <c:v>116.53333333333316</c:v>
                </c:pt>
                <c:pt idx="5">
                  <c:v>116.53333333333316</c:v>
                </c:pt>
              </c:numCache>
            </c:numRef>
          </c:val>
          <c:extLst>
            <c:ext xmlns:c16="http://schemas.microsoft.com/office/drawing/2014/chart" uri="{C3380CC4-5D6E-409C-BE32-E72D297353CC}">
              <c16:uniqueId val="{00000000-7DD4-1E49-94DF-C21520F49C06}"/>
            </c:ext>
          </c:extLst>
        </c:ser>
        <c:dLbls>
          <c:showLegendKey val="0"/>
          <c:showVal val="0"/>
          <c:showCatName val="0"/>
          <c:showSerName val="0"/>
          <c:showPercent val="0"/>
          <c:showBubbleSize val="0"/>
        </c:dLbls>
        <c:gapWidth val="0"/>
        <c:axId val="637771280"/>
        <c:axId val="-14543296"/>
      </c:barChart>
      <c:catAx>
        <c:axId val="637771280"/>
        <c:scaling>
          <c:orientation val="minMax"/>
        </c:scaling>
        <c:delete val="0"/>
        <c:axPos val="b"/>
        <c:numFmt formatCode="General" sourceLinked="0"/>
        <c:majorTickMark val="out"/>
        <c:minorTickMark val="none"/>
        <c:tickLblPos val="nextTo"/>
        <c:txPr>
          <a:bodyPr/>
          <a:lstStyle/>
          <a:p>
            <a:pPr>
              <a:defRPr>
                <a:solidFill>
                  <a:schemeClr val="bg1"/>
                </a:solidFill>
              </a:defRPr>
            </a:pPr>
            <a:endParaRPr lang="en-CH"/>
          </a:p>
        </c:txPr>
        <c:crossAx val="-14543296"/>
        <c:crossesAt val="0"/>
        <c:auto val="1"/>
        <c:lblAlgn val="ctr"/>
        <c:lblOffset val="100"/>
        <c:noMultiLvlLbl val="0"/>
      </c:catAx>
      <c:valAx>
        <c:axId val="-14543296"/>
        <c:scaling>
          <c:orientation val="minMax"/>
          <c:min val="0"/>
        </c:scaling>
        <c:delete val="0"/>
        <c:axPos val="l"/>
        <c:majorGridlines/>
        <c:numFmt formatCode="General" sourceLinked="1"/>
        <c:majorTickMark val="out"/>
        <c:minorTickMark val="none"/>
        <c:tickLblPos val="nextTo"/>
        <c:txPr>
          <a:bodyPr/>
          <a:lstStyle/>
          <a:p>
            <a:pPr>
              <a:defRPr>
                <a:solidFill>
                  <a:schemeClr val="bg1"/>
                </a:solidFill>
              </a:defRPr>
            </a:pPr>
            <a:endParaRPr lang="en-CH"/>
          </a:p>
        </c:txPr>
        <c:crossAx val="637771280"/>
        <c:crosses val="autoZero"/>
        <c:crossBetween val="between"/>
      </c:valAx>
      <c:spPr>
        <a:noFill/>
        <a:ln>
          <a:noFill/>
        </a:ln>
      </c:spPr>
    </c:plotArea>
    <c:plotVisOnly val="0"/>
    <c:dispBlanksAs val="gap"/>
    <c:showDLblsOverMax val="0"/>
  </c:chart>
  <c:spPr>
    <a:noFill/>
    <a:ln>
      <a:noFill/>
    </a:ln>
  </c:spPr>
  <c:printSettings>
    <c:headerFooter/>
    <c:pageMargins b="1" l="0.75" r="0.75" t="1" header="0.5" footer="0.5"/>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chemeClr val="bg1"/>
                </a:solidFill>
              </a:defRPr>
            </a:pPr>
            <a:r>
              <a:rPr lang="en-US" sz="1200">
                <a:solidFill>
                  <a:schemeClr val="bg1"/>
                </a:solidFill>
              </a:rPr>
              <a:t>Branch Balance</a:t>
            </a:r>
            <a:r>
              <a:rPr lang="en-US" sz="1200" baseline="0">
                <a:solidFill>
                  <a:schemeClr val="bg1"/>
                </a:solidFill>
              </a:rPr>
              <a:t> MLTC %</a:t>
            </a:r>
          </a:p>
        </c:rich>
      </c:tx>
      <c:overlay val="0"/>
    </c:title>
    <c:autoTitleDeleted val="0"/>
    <c:plotArea>
      <c:layout/>
      <c:barChart>
        <c:barDir val="col"/>
        <c:grouping val="stacked"/>
        <c:varyColors val="0"/>
        <c:ser>
          <c:idx val="0"/>
          <c:order val="0"/>
          <c:invertIfNegative val="0"/>
          <c:dLbls>
            <c:numFmt formatCode="#\ &quot;%&quot;" sourceLinked="0"/>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en-CH"/>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'US MDM-5000'!$Y$32:$AD$32</c:f>
              <c:numCache>
                <c:formatCode>General</c:formatCode>
                <c:ptCount val="6"/>
                <c:pt idx="0">
                  <c:v>64.182104924913347</c:v>
                </c:pt>
                <c:pt idx="1">
                  <c:v>64.182104924913489</c:v>
                </c:pt>
                <c:pt idx="2">
                  <c:v>64.182104924913347</c:v>
                </c:pt>
                <c:pt idx="3">
                  <c:v>59.755752861126211</c:v>
                </c:pt>
                <c:pt idx="4">
                  <c:v>59.755752861126346</c:v>
                </c:pt>
                <c:pt idx="5">
                  <c:v>59.755752861126211</c:v>
                </c:pt>
              </c:numCache>
            </c:numRef>
          </c:val>
          <c:extLst>
            <c:ext xmlns:c16="http://schemas.microsoft.com/office/drawing/2014/chart" uri="{C3380CC4-5D6E-409C-BE32-E72D297353CC}">
              <c16:uniqueId val="{00000000-C93E-A747-838C-C79906ABDB91}"/>
            </c:ext>
          </c:extLst>
        </c:ser>
        <c:ser>
          <c:idx val="2"/>
          <c:order val="1"/>
          <c:spPr>
            <a:solidFill>
              <a:srgbClr val="FB6B00"/>
            </a:solidFill>
            <a:ln>
              <a:noFill/>
            </a:ln>
          </c:spPr>
          <c:invertIfNegative val="0"/>
          <c:val>
            <c:numRef>
              <c:f>'US MDM-5000'!$Y$35:$AD$35</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C93E-A747-838C-C79906ABDB91}"/>
            </c:ext>
          </c:extLst>
        </c:ser>
        <c:ser>
          <c:idx val="1"/>
          <c:order val="2"/>
          <c:invertIfNegative val="0"/>
          <c:val>
            <c:numRef>
              <c:f>'US MDM-5000'!$Y$36:$AD$36</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2-C93E-A747-838C-C79906ABDB91}"/>
            </c:ext>
          </c:extLst>
        </c:ser>
        <c:dLbls>
          <c:showLegendKey val="0"/>
          <c:showVal val="0"/>
          <c:showCatName val="0"/>
          <c:showSerName val="0"/>
          <c:showPercent val="0"/>
          <c:showBubbleSize val="0"/>
        </c:dLbls>
        <c:gapWidth val="15"/>
        <c:overlap val="100"/>
        <c:axId val="639914816"/>
        <c:axId val="639917136"/>
      </c:barChart>
      <c:catAx>
        <c:axId val="639914816"/>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639917136"/>
        <c:crosses val="autoZero"/>
        <c:auto val="1"/>
        <c:lblAlgn val="ctr"/>
        <c:lblOffset val="100"/>
        <c:noMultiLvlLbl val="0"/>
      </c:catAx>
      <c:valAx>
        <c:axId val="639917136"/>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639914816"/>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rgbClr val="FFFFFF"/>
                </a:solidFill>
              </a:defRPr>
            </a:pPr>
            <a:r>
              <a:rPr lang="en-US" sz="1200">
                <a:solidFill>
                  <a:srgbClr val="FFFFFF"/>
                </a:solidFill>
              </a:rPr>
              <a:t>Cable</a:t>
            </a:r>
            <a:r>
              <a:rPr lang="en-US" sz="1200" baseline="0">
                <a:solidFill>
                  <a:srgbClr val="FFFFFF"/>
                </a:solidFill>
              </a:rPr>
              <a:t> loss %</a:t>
            </a:r>
          </a:p>
        </c:rich>
      </c:tx>
      <c:overlay val="0"/>
    </c:title>
    <c:autoTitleDeleted val="0"/>
    <c:plotArea>
      <c:layout/>
      <c:barChart>
        <c:barDir val="col"/>
        <c:grouping val="stacked"/>
        <c:varyColors val="0"/>
        <c:ser>
          <c:idx val="0"/>
          <c:order val="0"/>
          <c:invertIfNegative val="0"/>
          <c:val>
            <c:numRef>
              <c:f>'US MDM-5000'!$Y$39:$AD$39</c:f>
              <c:numCache>
                <c:formatCode>General</c:formatCode>
                <c:ptCount val="6"/>
                <c:pt idx="0">
                  <c:v>-4.7164583700133846</c:v>
                </c:pt>
                <c:pt idx="1">
                  <c:v>-4.7164583700134051</c:v>
                </c:pt>
                <c:pt idx="2">
                  <c:v>-4.7164583700133846</c:v>
                </c:pt>
                <c:pt idx="3">
                  <c:v>-3.67883752861044</c:v>
                </c:pt>
                <c:pt idx="4">
                  <c:v>-3.6788375286104564</c:v>
                </c:pt>
                <c:pt idx="5">
                  <c:v>-3.67883752861044</c:v>
                </c:pt>
              </c:numCache>
            </c:numRef>
          </c:val>
          <c:extLst>
            <c:ext xmlns:c16="http://schemas.microsoft.com/office/drawing/2014/chart" uri="{C3380CC4-5D6E-409C-BE32-E72D297353CC}">
              <c16:uniqueId val="{00000000-15A2-F740-A9EF-AA7512692A83}"/>
            </c:ext>
          </c:extLst>
        </c:ser>
        <c:ser>
          <c:idx val="1"/>
          <c:order val="1"/>
          <c:invertIfNegative val="0"/>
          <c:val>
            <c:numRef>
              <c:f>'US MDM-5000'!$Y$40:$AD$40</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1-15A2-F740-A9EF-AA7512692A83}"/>
            </c:ext>
          </c:extLst>
        </c:ser>
        <c:dLbls>
          <c:showLegendKey val="0"/>
          <c:showVal val="0"/>
          <c:showCatName val="0"/>
          <c:showSerName val="0"/>
          <c:showPercent val="0"/>
          <c:showBubbleSize val="0"/>
        </c:dLbls>
        <c:gapWidth val="0"/>
        <c:overlap val="100"/>
        <c:axId val="-9287824"/>
        <c:axId val="-9285776"/>
      </c:barChart>
      <c:catAx>
        <c:axId val="-9287824"/>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9285776"/>
        <c:crosses val="autoZero"/>
        <c:auto val="1"/>
        <c:lblAlgn val="ctr"/>
        <c:lblOffset val="100"/>
        <c:noMultiLvlLbl val="0"/>
      </c:catAx>
      <c:valAx>
        <c:axId val="-9285776"/>
        <c:scaling>
          <c:orientation val="minMax"/>
          <c:max val="0"/>
          <c:min val="-2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9287824"/>
        <c:crosses val="autoZero"/>
        <c:crossBetween val="between"/>
      </c:valAx>
      <c:spPr>
        <a:solidFill>
          <a:schemeClr val="tx1">
            <a:lumMod val="75000"/>
            <a:lumOff val="25000"/>
            <a:alpha val="0"/>
          </a:schemeClr>
        </a:solidFill>
        <a:ln>
          <a:noFill/>
        </a:ln>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chemeClr val="bg1"/>
                </a:solidFill>
              </a:defRPr>
            </a:pPr>
            <a:r>
              <a:rPr lang="en-US" sz="1200">
                <a:solidFill>
                  <a:schemeClr val="bg1"/>
                </a:solidFill>
              </a:rPr>
              <a:t>Branch Balance</a:t>
            </a:r>
            <a:r>
              <a:rPr lang="en-US" sz="1200" baseline="0">
                <a:solidFill>
                  <a:schemeClr val="bg1"/>
                </a:solidFill>
              </a:rPr>
              <a:t> MLTC %</a:t>
            </a:r>
          </a:p>
        </c:rich>
      </c:tx>
      <c:overlay val="0"/>
    </c:title>
    <c:autoTitleDeleted val="0"/>
    <c:plotArea>
      <c:layout/>
      <c:barChart>
        <c:barDir val="col"/>
        <c:grouping val="stacked"/>
        <c:varyColors val="0"/>
        <c:ser>
          <c:idx val="0"/>
          <c:order val="0"/>
          <c:invertIfNegative val="0"/>
          <c:dLbls>
            <c:numFmt formatCode="#\ &quot;%&quot;" sourceLinked="0"/>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en-CH"/>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'US MDM-5000'!$Y$72:$AD$72</c:f>
              <c:numCache>
                <c:formatCode>General</c:formatCode>
                <c:ptCount val="6"/>
                <c:pt idx="0">
                  <c:v>66.3952809568069</c:v>
                </c:pt>
                <c:pt idx="1">
                  <c:v>66.395280956807056</c:v>
                </c:pt>
                <c:pt idx="2">
                  <c:v>66.3952809568069</c:v>
                </c:pt>
                <c:pt idx="3">
                  <c:v>55.32940079733909</c:v>
                </c:pt>
                <c:pt idx="4">
                  <c:v>55.329400797339211</c:v>
                </c:pt>
                <c:pt idx="5">
                  <c:v>55.32940079733909</c:v>
                </c:pt>
              </c:numCache>
            </c:numRef>
          </c:val>
          <c:extLst>
            <c:ext xmlns:c16="http://schemas.microsoft.com/office/drawing/2014/chart" uri="{C3380CC4-5D6E-409C-BE32-E72D297353CC}">
              <c16:uniqueId val="{00000000-3C7D-FC4C-8E95-1B21E3550E65}"/>
            </c:ext>
          </c:extLst>
        </c:ser>
        <c:ser>
          <c:idx val="2"/>
          <c:order val="1"/>
          <c:spPr>
            <a:solidFill>
              <a:srgbClr val="FB6B00"/>
            </a:solidFill>
            <a:ln>
              <a:noFill/>
            </a:ln>
          </c:spPr>
          <c:invertIfNegative val="0"/>
          <c:val>
            <c:numRef>
              <c:f>'US MDM-5000'!$Y$75:$AD$75</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3C7D-FC4C-8E95-1B21E3550E65}"/>
            </c:ext>
          </c:extLst>
        </c:ser>
        <c:ser>
          <c:idx val="1"/>
          <c:order val="2"/>
          <c:invertIfNegative val="0"/>
          <c:val>
            <c:numRef>
              <c:f>'US MDM-5000'!$Y$76:$AD$76</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2-3C7D-FC4C-8E95-1B21E3550E65}"/>
            </c:ext>
          </c:extLst>
        </c:ser>
        <c:dLbls>
          <c:showLegendKey val="0"/>
          <c:showVal val="0"/>
          <c:showCatName val="0"/>
          <c:showSerName val="0"/>
          <c:showPercent val="0"/>
          <c:showBubbleSize val="0"/>
        </c:dLbls>
        <c:gapWidth val="15"/>
        <c:overlap val="100"/>
        <c:axId val="-25101968"/>
        <c:axId val="-25099648"/>
      </c:barChart>
      <c:catAx>
        <c:axId val="-25101968"/>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25099648"/>
        <c:crosses val="autoZero"/>
        <c:auto val="1"/>
        <c:lblAlgn val="ctr"/>
        <c:lblOffset val="100"/>
        <c:noMultiLvlLbl val="0"/>
      </c:catAx>
      <c:valAx>
        <c:axId val="-25099648"/>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25101968"/>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rgbClr val="FFFFFF"/>
                </a:solidFill>
              </a:defRPr>
            </a:pPr>
            <a:r>
              <a:rPr lang="en-US" sz="1200">
                <a:solidFill>
                  <a:srgbClr val="FFFFFF"/>
                </a:solidFill>
              </a:rPr>
              <a:t>Cable</a:t>
            </a:r>
            <a:r>
              <a:rPr lang="en-US" sz="1200" baseline="0">
                <a:solidFill>
                  <a:srgbClr val="FFFFFF"/>
                </a:solidFill>
              </a:rPr>
              <a:t> loss %</a:t>
            </a:r>
          </a:p>
        </c:rich>
      </c:tx>
      <c:overlay val="0"/>
    </c:title>
    <c:autoTitleDeleted val="0"/>
    <c:plotArea>
      <c:layout/>
      <c:barChart>
        <c:barDir val="col"/>
        <c:grouping val="stacked"/>
        <c:varyColors val="0"/>
        <c:ser>
          <c:idx val="0"/>
          <c:order val="0"/>
          <c:invertIfNegative val="0"/>
          <c:val>
            <c:numRef>
              <c:f>'US MDM-5000'!$Y$79:$AD$79</c:f>
              <c:numCache>
                <c:formatCode>General</c:formatCode>
                <c:ptCount val="6"/>
                <c:pt idx="0">
                  <c:v>-5.9427375462168648</c:v>
                </c:pt>
                <c:pt idx="1">
                  <c:v>-5.9427375462168888</c:v>
                </c:pt>
                <c:pt idx="2">
                  <c:v>-5.9427375462168648</c:v>
                </c:pt>
                <c:pt idx="3">
                  <c:v>-4.3391417004123136</c:v>
                </c:pt>
                <c:pt idx="4">
                  <c:v>-4.3391417004123323</c:v>
                </c:pt>
                <c:pt idx="5">
                  <c:v>-4.3391417004123136</c:v>
                </c:pt>
              </c:numCache>
            </c:numRef>
          </c:val>
          <c:extLst>
            <c:ext xmlns:c16="http://schemas.microsoft.com/office/drawing/2014/chart" uri="{C3380CC4-5D6E-409C-BE32-E72D297353CC}">
              <c16:uniqueId val="{00000000-D4B8-3D49-9DD4-E64BFE10F32A}"/>
            </c:ext>
          </c:extLst>
        </c:ser>
        <c:ser>
          <c:idx val="1"/>
          <c:order val="1"/>
          <c:invertIfNegative val="0"/>
          <c:val>
            <c:numRef>
              <c:f>'US MDM-5000'!$Y$80:$AD$80</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1-D4B8-3D49-9DD4-E64BFE10F32A}"/>
            </c:ext>
          </c:extLst>
        </c:ser>
        <c:dLbls>
          <c:showLegendKey val="0"/>
          <c:showVal val="0"/>
          <c:showCatName val="0"/>
          <c:showSerName val="0"/>
          <c:showPercent val="0"/>
          <c:showBubbleSize val="0"/>
        </c:dLbls>
        <c:gapWidth val="0"/>
        <c:overlap val="100"/>
        <c:axId val="-25120992"/>
        <c:axId val="-25153072"/>
      </c:barChart>
      <c:catAx>
        <c:axId val="-25120992"/>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25153072"/>
        <c:crosses val="autoZero"/>
        <c:auto val="1"/>
        <c:lblAlgn val="ctr"/>
        <c:lblOffset val="100"/>
        <c:noMultiLvlLbl val="0"/>
      </c:catAx>
      <c:valAx>
        <c:axId val="-25153072"/>
        <c:scaling>
          <c:orientation val="minMax"/>
          <c:max val="0"/>
          <c:min val="-2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25120992"/>
        <c:crosses val="autoZero"/>
        <c:crossBetween val="between"/>
      </c:valAx>
      <c:spPr>
        <a:solidFill>
          <a:schemeClr val="tx1">
            <a:lumMod val="75000"/>
            <a:lumOff val="25000"/>
            <a:alpha val="0"/>
          </a:schemeClr>
        </a:solidFill>
        <a:ln>
          <a:noFill/>
        </a:ln>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chemeClr val="bg1"/>
                </a:solidFill>
              </a:defRPr>
            </a:pPr>
            <a:r>
              <a:rPr lang="en-US" sz="1200">
                <a:solidFill>
                  <a:schemeClr val="bg1"/>
                </a:solidFill>
              </a:rPr>
              <a:t>Branch Balance</a:t>
            </a:r>
            <a:r>
              <a:rPr lang="en-US" sz="1200" baseline="0">
                <a:solidFill>
                  <a:schemeClr val="bg1"/>
                </a:solidFill>
              </a:rPr>
              <a:t> MLTC %</a:t>
            </a:r>
          </a:p>
        </c:rich>
      </c:tx>
      <c:overlay val="0"/>
    </c:title>
    <c:autoTitleDeleted val="0"/>
    <c:plotArea>
      <c:layout/>
      <c:barChart>
        <c:barDir val="col"/>
        <c:grouping val="stacked"/>
        <c:varyColors val="0"/>
        <c:ser>
          <c:idx val="0"/>
          <c:order val="0"/>
          <c:invertIfNegative val="0"/>
          <c:dLbls>
            <c:numFmt formatCode="#\ &quot;%&quot;" sourceLinked="0"/>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en-CH"/>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'US MDM-5000'!$Y$112:$AD$112</c:f>
              <c:numCache>
                <c:formatCode>General</c:formatCode>
                <c:ptCount val="6"/>
                <c:pt idx="0">
                  <c:v>66.3952809568069</c:v>
                </c:pt>
                <c:pt idx="1">
                  <c:v>66.395280956807056</c:v>
                </c:pt>
                <c:pt idx="2">
                  <c:v>66.3952809568069</c:v>
                </c:pt>
                <c:pt idx="3">
                  <c:v>55.32940079733909</c:v>
                </c:pt>
                <c:pt idx="4">
                  <c:v>55.329400797339211</c:v>
                </c:pt>
                <c:pt idx="5">
                  <c:v>55.32940079733909</c:v>
                </c:pt>
              </c:numCache>
            </c:numRef>
          </c:val>
          <c:extLst>
            <c:ext xmlns:c16="http://schemas.microsoft.com/office/drawing/2014/chart" uri="{C3380CC4-5D6E-409C-BE32-E72D297353CC}">
              <c16:uniqueId val="{00000000-21BD-C848-A5B2-F97A3AED491C}"/>
            </c:ext>
          </c:extLst>
        </c:ser>
        <c:ser>
          <c:idx val="2"/>
          <c:order val="1"/>
          <c:spPr>
            <a:solidFill>
              <a:srgbClr val="FB6B00"/>
            </a:solidFill>
            <a:ln>
              <a:noFill/>
            </a:ln>
          </c:spPr>
          <c:invertIfNegative val="0"/>
          <c:val>
            <c:numRef>
              <c:f>'US MDM-5000'!$Y$115:$AD$115</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21BD-C848-A5B2-F97A3AED491C}"/>
            </c:ext>
          </c:extLst>
        </c:ser>
        <c:ser>
          <c:idx val="1"/>
          <c:order val="2"/>
          <c:invertIfNegative val="0"/>
          <c:val>
            <c:numRef>
              <c:f>'US MDM-5000'!$Y$116:$AD$116</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2-21BD-C848-A5B2-F97A3AED491C}"/>
            </c:ext>
          </c:extLst>
        </c:ser>
        <c:dLbls>
          <c:showLegendKey val="0"/>
          <c:showVal val="0"/>
          <c:showCatName val="0"/>
          <c:showSerName val="0"/>
          <c:showPercent val="0"/>
          <c:showBubbleSize val="0"/>
        </c:dLbls>
        <c:gapWidth val="15"/>
        <c:overlap val="100"/>
        <c:axId val="-14093136"/>
        <c:axId val="-13953632"/>
      </c:barChart>
      <c:catAx>
        <c:axId val="-14093136"/>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13953632"/>
        <c:crosses val="autoZero"/>
        <c:auto val="1"/>
        <c:lblAlgn val="ctr"/>
        <c:lblOffset val="100"/>
        <c:noMultiLvlLbl val="0"/>
      </c:catAx>
      <c:valAx>
        <c:axId val="-13953632"/>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14093136"/>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rgbClr val="FFFFFF"/>
                </a:solidFill>
              </a:defRPr>
            </a:pPr>
            <a:r>
              <a:rPr lang="en-US" sz="1200">
                <a:solidFill>
                  <a:srgbClr val="FFFFFF"/>
                </a:solidFill>
              </a:rPr>
              <a:t>Cable</a:t>
            </a:r>
            <a:r>
              <a:rPr lang="en-US" sz="1200" baseline="0">
                <a:solidFill>
                  <a:srgbClr val="FFFFFF"/>
                </a:solidFill>
              </a:rPr>
              <a:t> loss %</a:t>
            </a:r>
          </a:p>
        </c:rich>
      </c:tx>
      <c:overlay val="0"/>
    </c:title>
    <c:autoTitleDeleted val="0"/>
    <c:plotArea>
      <c:layout/>
      <c:barChart>
        <c:barDir val="col"/>
        <c:grouping val="stacked"/>
        <c:varyColors val="0"/>
        <c:ser>
          <c:idx val="0"/>
          <c:order val="0"/>
          <c:invertIfNegative val="0"/>
          <c:val>
            <c:numRef>
              <c:f>'US MDM-5000'!$Y$119:$AD$119</c:f>
              <c:numCache>
                <c:formatCode>General</c:formatCode>
                <c:ptCount val="6"/>
                <c:pt idx="0">
                  <c:v>-5.9427375462168648</c:v>
                </c:pt>
                <c:pt idx="1">
                  <c:v>-5.9427375462168888</c:v>
                </c:pt>
                <c:pt idx="2">
                  <c:v>-5.9427375462168648</c:v>
                </c:pt>
                <c:pt idx="3">
                  <c:v>-4.3391417004123136</c:v>
                </c:pt>
                <c:pt idx="4">
                  <c:v>-4.3391417004123323</c:v>
                </c:pt>
                <c:pt idx="5">
                  <c:v>-4.3391417004123136</c:v>
                </c:pt>
              </c:numCache>
            </c:numRef>
          </c:val>
          <c:extLst>
            <c:ext xmlns:c16="http://schemas.microsoft.com/office/drawing/2014/chart" uri="{C3380CC4-5D6E-409C-BE32-E72D297353CC}">
              <c16:uniqueId val="{00000000-8F40-4441-A7C3-C2A2CB078DDC}"/>
            </c:ext>
          </c:extLst>
        </c:ser>
        <c:ser>
          <c:idx val="1"/>
          <c:order val="1"/>
          <c:invertIfNegative val="0"/>
          <c:val>
            <c:numRef>
              <c:f>'US MDM-5000'!$Y$120:$AD$120</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1-8F40-4441-A7C3-C2A2CB078DDC}"/>
            </c:ext>
          </c:extLst>
        </c:ser>
        <c:dLbls>
          <c:showLegendKey val="0"/>
          <c:showVal val="0"/>
          <c:showCatName val="0"/>
          <c:showSerName val="0"/>
          <c:showPercent val="0"/>
          <c:showBubbleSize val="0"/>
        </c:dLbls>
        <c:gapWidth val="0"/>
        <c:overlap val="100"/>
        <c:axId val="-25159984"/>
        <c:axId val="-25157664"/>
      </c:barChart>
      <c:catAx>
        <c:axId val="-25159984"/>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25157664"/>
        <c:crosses val="autoZero"/>
        <c:auto val="1"/>
        <c:lblAlgn val="ctr"/>
        <c:lblOffset val="100"/>
        <c:noMultiLvlLbl val="0"/>
      </c:catAx>
      <c:valAx>
        <c:axId val="-25157664"/>
        <c:scaling>
          <c:orientation val="minMax"/>
          <c:max val="0"/>
          <c:min val="-2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25159984"/>
        <c:crosses val="autoZero"/>
        <c:crossBetween val="between"/>
      </c:valAx>
      <c:spPr>
        <a:solidFill>
          <a:schemeClr val="tx1">
            <a:lumMod val="75000"/>
            <a:lumOff val="25000"/>
            <a:alpha val="0"/>
          </a:schemeClr>
        </a:solidFill>
        <a:ln>
          <a:noFill/>
        </a:ln>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rgbClr val="FFFFFF"/>
                </a:solidFill>
              </a:defRPr>
            </a:pPr>
            <a:r>
              <a:rPr lang="en-US" sz="1200">
                <a:solidFill>
                  <a:srgbClr val="FFFFFF"/>
                </a:solidFill>
              </a:rPr>
              <a:t>Cable</a:t>
            </a:r>
            <a:r>
              <a:rPr lang="en-US" sz="1200" baseline="0">
                <a:solidFill>
                  <a:srgbClr val="FFFFFF"/>
                </a:solidFill>
              </a:rPr>
              <a:t> loss %</a:t>
            </a:r>
          </a:p>
        </c:rich>
      </c:tx>
      <c:overlay val="0"/>
    </c:title>
    <c:autoTitleDeleted val="0"/>
    <c:plotArea>
      <c:layout/>
      <c:barChart>
        <c:barDir val="col"/>
        <c:grouping val="stacked"/>
        <c:varyColors val="0"/>
        <c:ser>
          <c:idx val="0"/>
          <c:order val="0"/>
          <c:invertIfNegative val="0"/>
          <c:val>
            <c:numRef>
              <c:f>'EU MDM-5000'!$Y$33:$AD$33</c:f>
              <c:numCache>
                <c:formatCode>General</c:formatCode>
                <c:ptCount val="6"/>
                <c:pt idx="0">
                  <c:v>-4.5156453922034823</c:v>
                </c:pt>
                <c:pt idx="1">
                  <c:v>-4.5156453922034823</c:v>
                </c:pt>
                <c:pt idx="2">
                  <c:v>-4.5156453922034823</c:v>
                </c:pt>
                <c:pt idx="3">
                  <c:v>-4.891949174887106</c:v>
                </c:pt>
                <c:pt idx="4">
                  <c:v>-4.891949174887106</c:v>
                </c:pt>
                <c:pt idx="5">
                  <c:v>-4.891949174887106</c:v>
                </c:pt>
              </c:numCache>
            </c:numRef>
          </c:val>
          <c:extLst>
            <c:ext xmlns:c16="http://schemas.microsoft.com/office/drawing/2014/chart" uri="{C3380CC4-5D6E-409C-BE32-E72D297353CC}">
              <c16:uniqueId val="{00000000-BE74-7944-A1BD-856C87093F1D}"/>
            </c:ext>
          </c:extLst>
        </c:ser>
        <c:ser>
          <c:idx val="1"/>
          <c:order val="1"/>
          <c:invertIfNegative val="0"/>
          <c:val>
            <c:numRef>
              <c:f>'EU MDM-5000'!$Y$34:$AD$34</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1-BE74-7944-A1BD-856C87093F1D}"/>
            </c:ext>
          </c:extLst>
        </c:ser>
        <c:dLbls>
          <c:showLegendKey val="0"/>
          <c:showVal val="0"/>
          <c:showCatName val="0"/>
          <c:showSerName val="0"/>
          <c:showPercent val="0"/>
          <c:showBubbleSize val="0"/>
        </c:dLbls>
        <c:gapWidth val="0"/>
        <c:overlap val="100"/>
        <c:axId val="10974864"/>
        <c:axId val="706400464"/>
      </c:barChart>
      <c:catAx>
        <c:axId val="10974864"/>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706400464"/>
        <c:crosses val="autoZero"/>
        <c:auto val="1"/>
        <c:lblAlgn val="ctr"/>
        <c:lblOffset val="100"/>
        <c:noMultiLvlLbl val="0"/>
      </c:catAx>
      <c:valAx>
        <c:axId val="706400464"/>
        <c:scaling>
          <c:orientation val="minMax"/>
          <c:max val="0"/>
          <c:min val="-2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10974864"/>
        <c:crosses val="autoZero"/>
        <c:crossBetween val="between"/>
      </c:valAx>
      <c:spPr>
        <a:solidFill>
          <a:schemeClr val="tx1">
            <a:lumMod val="75000"/>
            <a:lumOff val="25000"/>
            <a:alpha val="0"/>
          </a:schemeClr>
        </a:solidFill>
        <a:ln>
          <a:noFill/>
        </a:ln>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chemeClr val="bg1"/>
                </a:solidFill>
              </a:defRPr>
            </a:pPr>
            <a:r>
              <a:rPr lang="en-US" sz="1200">
                <a:solidFill>
                  <a:schemeClr val="bg1"/>
                </a:solidFill>
              </a:rPr>
              <a:t>Branch Balance</a:t>
            </a:r>
            <a:r>
              <a:rPr lang="en-US" sz="1200" baseline="0">
                <a:solidFill>
                  <a:schemeClr val="bg1"/>
                </a:solidFill>
              </a:rPr>
              <a:t> MLTC %</a:t>
            </a:r>
          </a:p>
        </c:rich>
      </c:tx>
      <c:overlay val="0"/>
    </c:title>
    <c:autoTitleDeleted val="0"/>
    <c:plotArea>
      <c:layout/>
      <c:barChart>
        <c:barDir val="col"/>
        <c:grouping val="stacked"/>
        <c:varyColors val="0"/>
        <c:ser>
          <c:idx val="0"/>
          <c:order val="0"/>
          <c:invertIfNegative val="0"/>
          <c:dLbls>
            <c:numFmt formatCode="#\ &quot;%&quot;" sourceLinked="0"/>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en-CH"/>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'US MDM-5000'!$Y$152:$AD$152</c:f>
              <c:numCache>
                <c:formatCode>General</c:formatCode>
                <c:ptCount val="6"/>
                <c:pt idx="0">
                  <c:v>66.3952809568069</c:v>
                </c:pt>
                <c:pt idx="1">
                  <c:v>66.395280956807056</c:v>
                </c:pt>
                <c:pt idx="2">
                  <c:v>66.3952809568069</c:v>
                </c:pt>
                <c:pt idx="3">
                  <c:v>55.32940079733909</c:v>
                </c:pt>
                <c:pt idx="4">
                  <c:v>55.329400797339211</c:v>
                </c:pt>
                <c:pt idx="5">
                  <c:v>55.32940079733909</c:v>
                </c:pt>
              </c:numCache>
            </c:numRef>
          </c:val>
          <c:extLst>
            <c:ext xmlns:c16="http://schemas.microsoft.com/office/drawing/2014/chart" uri="{C3380CC4-5D6E-409C-BE32-E72D297353CC}">
              <c16:uniqueId val="{00000000-FD69-7847-945D-5FA44AEE7A38}"/>
            </c:ext>
          </c:extLst>
        </c:ser>
        <c:ser>
          <c:idx val="2"/>
          <c:order val="1"/>
          <c:spPr>
            <a:solidFill>
              <a:srgbClr val="FB6B00"/>
            </a:solidFill>
            <a:ln>
              <a:noFill/>
            </a:ln>
          </c:spPr>
          <c:invertIfNegative val="0"/>
          <c:val>
            <c:numRef>
              <c:f>'US MDM-5000'!$Y$155:$AD$155</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FD69-7847-945D-5FA44AEE7A38}"/>
            </c:ext>
          </c:extLst>
        </c:ser>
        <c:ser>
          <c:idx val="1"/>
          <c:order val="2"/>
          <c:invertIfNegative val="0"/>
          <c:val>
            <c:numRef>
              <c:f>'US MDM-5000'!$Y$156:$AD$156</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2-FD69-7847-945D-5FA44AEE7A38}"/>
            </c:ext>
          </c:extLst>
        </c:ser>
        <c:dLbls>
          <c:showLegendKey val="0"/>
          <c:showVal val="0"/>
          <c:showCatName val="0"/>
          <c:showSerName val="0"/>
          <c:showPercent val="0"/>
          <c:showBubbleSize val="0"/>
        </c:dLbls>
        <c:gapWidth val="15"/>
        <c:overlap val="100"/>
        <c:axId val="639867904"/>
        <c:axId val="639869680"/>
      </c:barChart>
      <c:catAx>
        <c:axId val="639867904"/>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639869680"/>
        <c:crosses val="autoZero"/>
        <c:auto val="1"/>
        <c:lblAlgn val="ctr"/>
        <c:lblOffset val="100"/>
        <c:noMultiLvlLbl val="0"/>
      </c:catAx>
      <c:valAx>
        <c:axId val="639869680"/>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639867904"/>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rgbClr val="FFFFFF"/>
                </a:solidFill>
              </a:defRPr>
            </a:pPr>
            <a:r>
              <a:rPr lang="en-US" sz="1200">
                <a:solidFill>
                  <a:srgbClr val="FFFFFF"/>
                </a:solidFill>
              </a:rPr>
              <a:t>Cable</a:t>
            </a:r>
            <a:r>
              <a:rPr lang="en-US" sz="1200" baseline="0">
                <a:solidFill>
                  <a:srgbClr val="FFFFFF"/>
                </a:solidFill>
              </a:rPr>
              <a:t> loss %</a:t>
            </a:r>
          </a:p>
        </c:rich>
      </c:tx>
      <c:overlay val="0"/>
    </c:title>
    <c:autoTitleDeleted val="0"/>
    <c:plotArea>
      <c:layout/>
      <c:barChart>
        <c:barDir val="col"/>
        <c:grouping val="stacked"/>
        <c:varyColors val="0"/>
        <c:ser>
          <c:idx val="0"/>
          <c:order val="0"/>
          <c:invertIfNegative val="0"/>
          <c:val>
            <c:numRef>
              <c:f>'US MDM-5000'!$Y$159:$AD$159</c:f>
              <c:numCache>
                <c:formatCode>General</c:formatCode>
                <c:ptCount val="6"/>
                <c:pt idx="0">
                  <c:v>-5.9427375462168648</c:v>
                </c:pt>
                <c:pt idx="1">
                  <c:v>-5.9427375462168888</c:v>
                </c:pt>
                <c:pt idx="2">
                  <c:v>-5.9427375462168648</c:v>
                </c:pt>
                <c:pt idx="3">
                  <c:v>-4.3391417004123136</c:v>
                </c:pt>
                <c:pt idx="4">
                  <c:v>-4.3391417004123323</c:v>
                </c:pt>
                <c:pt idx="5">
                  <c:v>-4.3391417004123136</c:v>
                </c:pt>
              </c:numCache>
            </c:numRef>
          </c:val>
          <c:extLst>
            <c:ext xmlns:c16="http://schemas.microsoft.com/office/drawing/2014/chart" uri="{C3380CC4-5D6E-409C-BE32-E72D297353CC}">
              <c16:uniqueId val="{00000000-593F-E740-B859-A7DD7D2B0C94}"/>
            </c:ext>
          </c:extLst>
        </c:ser>
        <c:ser>
          <c:idx val="1"/>
          <c:order val="1"/>
          <c:invertIfNegative val="0"/>
          <c:val>
            <c:numRef>
              <c:f>'US MDM-5000'!$Y$160:$AD$160</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1-593F-E740-B859-A7DD7D2B0C94}"/>
            </c:ext>
          </c:extLst>
        </c:ser>
        <c:dLbls>
          <c:showLegendKey val="0"/>
          <c:showVal val="0"/>
          <c:showCatName val="0"/>
          <c:showSerName val="0"/>
          <c:showPercent val="0"/>
          <c:showBubbleSize val="0"/>
        </c:dLbls>
        <c:gapWidth val="0"/>
        <c:overlap val="100"/>
        <c:axId val="639855472"/>
        <c:axId val="639822224"/>
      </c:barChart>
      <c:catAx>
        <c:axId val="639855472"/>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639822224"/>
        <c:crosses val="autoZero"/>
        <c:auto val="1"/>
        <c:lblAlgn val="ctr"/>
        <c:lblOffset val="100"/>
        <c:noMultiLvlLbl val="0"/>
      </c:catAx>
      <c:valAx>
        <c:axId val="639822224"/>
        <c:scaling>
          <c:orientation val="minMax"/>
          <c:max val="0"/>
          <c:min val="-2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639855472"/>
        <c:crosses val="autoZero"/>
        <c:crossBetween val="between"/>
      </c:valAx>
      <c:spPr>
        <a:solidFill>
          <a:schemeClr val="tx1">
            <a:lumMod val="75000"/>
            <a:lumOff val="25000"/>
            <a:alpha val="0"/>
          </a:schemeClr>
        </a:solidFill>
        <a:ln>
          <a:noFill/>
        </a:ln>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chemeClr val="bg1"/>
                </a:solidFill>
              </a:defRPr>
            </a:pPr>
            <a:r>
              <a:rPr lang="en-US" sz="1200">
                <a:solidFill>
                  <a:schemeClr val="bg1"/>
                </a:solidFill>
              </a:rPr>
              <a:t>Branch Balance</a:t>
            </a:r>
            <a:r>
              <a:rPr lang="en-US" sz="1200" baseline="0">
                <a:solidFill>
                  <a:schemeClr val="bg1"/>
                </a:solidFill>
              </a:rPr>
              <a:t> MLTC %</a:t>
            </a:r>
          </a:p>
        </c:rich>
      </c:tx>
      <c:overlay val="0"/>
    </c:title>
    <c:autoTitleDeleted val="0"/>
    <c:plotArea>
      <c:layout/>
      <c:barChart>
        <c:barDir val="col"/>
        <c:grouping val="stacked"/>
        <c:varyColors val="0"/>
        <c:ser>
          <c:idx val="0"/>
          <c:order val="0"/>
          <c:invertIfNegative val="0"/>
          <c:dLbls>
            <c:numFmt formatCode="#\ &quot;%&quot;" sourceLinked="0"/>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en-CH"/>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'US MDM-5000'!$Y$192:$AD$192</c:f>
              <c:numCache>
                <c:formatCode>General</c:formatCode>
                <c:ptCount val="6"/>
                <c:pt idx="0">
                  <c:v>66.3952809568069</c:v>
                </c:pt>
                <c:pt idx="1">
                  <c:v>66.395280956807056</c:v>
                </c:pt>
                <c:pt idx="2">
                  <c:v>66.3952809568069</c:v>
                </c:pt>
                <c:pt idx="3">
                  <c:v>55.32940079733909</c:v>
                </c:pt>
                <c:pt idx="4">
                  <c:v>55.329400797339211</c:v>
                </c:pt>
                <c:pt idx="5">
                  <c:v>55.32940079733909</c:v>
                </c:pt>
              </c:numCache>
            </c:numRef>
          </c:val>
          <c:extLst>
            <c:ext xmlns:c16="http://schemas.microsoft.com/office/drawing/2014/chart" uri="{C3380CC4-5D6E-409C-BE32-E72D297353CC}">
              <c16:uniqueId val="{00000000-3EA8-D84D-AC2E-274D527FDEB0}"/>
            </c:ext>
          </c:extLst>
        </c:ser>
        <c:ser>
          <c:idx val="2"/>
          <c:order val="1"/>
          <c:spPr>
            <a:solidFill>
              <a:srgbClr val="FB6B00"/>
            </a:solidFill>
            <a:ln>
              <a:noFill/>
            </a:ln>
          </c:spPr>
          <c:invertIfNegative val="0"/>
          <c:val>
            <c:numRef>
              <c:f>'US MDM-5000'!$Y$195:$AD$195</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3EA8-D84D-AC2E-274D527FDEB0}"/>
            </c:ext>
          </c:extLst>
        </c:ser>
        <c:ser>
          <c:idx val="1"/>
          <c:order val="2"/>
          <c:invertIfNegative val="0"/>
          <c:val>
            <c:numRef>
              <c:f>'US MDM-5000'!$Y$196:$AD$196</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2-3EA8-D84D-AC2E-274D527FDEB0}"/>
            </c:ext>
          </c:extLst>
        </c:ser>
        <c:dLbls>
          <c:showLegendKey val="0"/>
          <c:showVal val="0"/>
          <c:showCatName val="0"/>
          <c:showSerName val="0"/>
          <c:showPercent val="0"/>
          <c:showBubbleSize val="0"/>
        </c:dLbls>
        <c:gapWidth val="15"/>
        <c:overlap val="100"/>
        <c:axId val="639844912"/>
        <c:axId val="639857296"/>
      </c:barChart>
      <c:catAx>
        <c:axId val="639844912"/>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639857296"/>
        <c:crosses val="autoZero"/>
        <c:auto val="1"/>
        <c:lblAlgn val="ctr"/>
        <c:lblOffset val="100"/>
        <c:noMultiLvlLbl val="0"/>
      </c:catAx>
      <c:valAx>
        <c:axId val="639857296"/>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639844912"/>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rgbClr val="FFFFFF"/>
                </a:solidFill>
              </a:defRPr>
            </a:pPr>
            <a:r>
              <a:rPr lang="en-US" sz="1200">
                <a:solidFill>
                  <a:srgbClr val="FFFFFF"/>
                </a:solidFill>
              </a:rPr>
              <a:t>Cable</a:t>
            </a:r>
            <a:r>
              <a:rPr lang="en-US" sz="1200" baseline="0">
                <a:solidFill>
                  <a:srgbClr val="FFFFFF"/>
                </a:solidFill>
              </a:rPr>
              <a:t> loss %</a:t>
            </a:r>
          </a:p>
        </c:rich>
      </c:tx>
      <c:overlay val="0"/>
    </c:title>
    <c:autoTitleDeleted val="0"/>
    <c:plotArea>
      <c:layout/>
      <c:barChart>
        <c:barDir val="col"/>
        <c:grouping val="stacked"/>
        <c:varyColors val="0"/>
        <c:ser>
          <c:idx val="0"/>
          <c:order val="0"/>
          <c:invertIfNegative val="0"/>
          <c:val>
            <c:numRef>
              <c:f>'US MDM-5000'!$Y$199:$AD$199</c:f>
              <c:numCache>
                <c:formatCode>General</c:formatCode>
                <c:ptCount val="6"/>
                <c:pt idx="0">
                  <c:v>-5.9427375462168648</c:v>
                </c:pt>
                <c:pt idx="1">
                  <c:v>-5.9427375462168888</c:v>
                </c:pt>
                <c:pt idx="2">
                  <c:v>-5.9427375462168648</c:v>
                </c:pt>
                <c:pt idx="3">
                  <c:v>-4.3391417004123136</c:v>
                </c:pt>
                <c:pt idx="4">
                  <c:v>-4.3391417004123323</c:v>
                </c:pt>
                <c:pt idx="5">
                  <c:v>-4.3391417004123136</c:v>
                </c:pt>
              </c:numCache>
            </c:numRef>
          </c:val>
          <c:extLst>
            <c:ext xmlns:c16="http://schemas.microsoft.com/office/drawing/2014/chart" uri="{C3380CC4-5D6E-409C-BE32-E72D297353CC}">
              <c16:uniqueId val="{00000000-DF34-BA40-A6C3-2A3A5F4B79BC}"/>
            </c:ext>
          </c:extLst>
        </c:ser>
        <c:ser>
          <c:idx val="1"/>
          <c:order val="1"/>
          <c:invertIfNegative val="0"/>
          <c:val>
            <c:numRef>
              <c:f>'US MDM-5000'!$Y$200:$AD$200</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1-DF34-BA40-A6C3-2A3A5F4B79BC}"/>
            </c:ext>
          </c:extLst>
        </c:ser>
        <c:dLbls>
          <c:showLegendKey val="0"/>
          <c:showVal val="0"/>
          <c:showCatName val="0"/>
          <c:showSerName val="0"/>
          <c:showPercent val="0"/>
          <c:showBubbleSize val="0"/>
        </c:dLbls>
        <c:gapWidth val="0"/>
        <c:overlap val="100"/>
        <c:axId val="639877088"/>
        <c:axId val="639805392"/>
      </c:barChart>
      <c:catAx>
        <c:axId val="639877088"/>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639805392"/>
        <c:crosses val="autoZero"/>
        <c:auto val="1"/>
        <c:lblAlgn val="ctr"/>
        <c:lblOffset val="100"/>
        <c:noMultiLvlLbl val="0"/>
      </c:catAx>
      <c:valAx>
        <c:axId val="639805392"/>
        <c:scaling>
          <c:orientation val="minMax"/>
          <c:max val="0"/>
          <c:min val="-2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639877088"/>
        <c:crosses val="autoZero"/>
        <c:crossBetween val="between"/>
      </c:valAx>
      <c:spPr>
        <a:solidFill>
          <a:schemeClr val="tx1">
            <a:lumMod val="75000"/>
            <a:lumOff val="25000"/>
            <a:alpha val="0"/>
          </a:schemeClr>
        </a:solidFill>
        <a:ln>
          <a:noFill/>
        </a:ln>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chemeClr val="bg1"/>
                </a:solidFill>
              </a:defRPr>
            </a:pPr>
            <a:r>
              <a:rPr lang="en-US" sz="1200">
                <a:solidFill>
                  <a:schemeClr val="bg1"/>
                </a:solidFill>
              </a:rPr>
              <a:t>Branch Balance</a:t>
            </a:r>
            <a:r>
              <a:rPr lang="en-US" sz="1200" baseline="0">
                <a:solidFill>
                  <a:schemeClr val="bg1"/>
                </a:solidFill>
              </a:rPr>
              <a:t> MLTC %</a:t>
            </a:r>
          </a:p>
        </c:rich>
      </c:tx>
      <c:overlay val="0"/>
    </c:title>
    <c:autoTitleDeleted val="0"/>
    <c:plotArea>
      <c:layout/>
      <c:barChart>
        <c:barDir val="col"/>
        <c:grouping val="stacked"/>
        <c:varyColors val="0"/>
        <c:ser>
          <c:idx val="0"/>
          <c:order val="0"/>
          <c:invertIfNegative val="0"/>
          <c:dLbls>
            <c:numFmt formatCode="#\ &quot;%&quot;" sourceLinked="0"/>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en-CH"/>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'US MDM-5000'!$Y$232:$AD$232</c:f>
              <c:numCache>
                <c:formatCode>General</c:formatCode>
                <c:ptCount val="6"/>
                <c:pt idx="0">
                  <c:v>66.3952809568069</c:v>
                </c:pt>
                <c:pt idx="1">
                  <c:v>66.395280956807056</c:v>
                </c:pt>
                <c:pt idx="2">
                  <c:v>66.3952809568069</c:v>
                </c:pt>
                <c:pt idx="3">
                  <c:v>55.32940079733909</c:v>
                </c:pt>
                <c:pt idx="4">
                  <c:v>55.329400797339211</c:v>
                </c:pt>
                <c:pt idx="5">
                  <c:v>55.32940079733909</c:v>
                </c:pt>
              </c:numCache>
            </c:numRef>
          </c:val>
          <c:extLst>
            <c:ext xmlns:c16="http://schemas.microsoft.com/office/drawing/2014/chart" uri="{C3380CC4-5D6E-409C-BE32-E72D297353CC}">
              <c16:uniqueId val="{00000000-F715-EB4B-8521-59FDE7560D68}"/>
            </c:ext>
          </c:extLst>
        </c:ser>
        <c:ser>
          <c:idx val="2"/>
          <c:order val="1"/>
          <c:spPr>
            <a:solidFill>
              <a:srgbClr val="FB6B00"/>
            </a:solidFill>
            <a:ln>
              <a:noFill/>
            </a:ln>
          </c:spPr>
          <c:invertIfNegative val="0"/>
          <c:val>
            <c:numRef>
              <c:f>'US MDM-5000'!$Y$235:$AD$235</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F715-EB4B-8521-59FDE7560D68}"/>
            </c:ext>
          </c:extLst>
        </c:ser>
        <c:ser>
          <c:idx val="1"/>
          <c:order val="2"/>
          <c:invertIfNegative val="0"/>
          <c:val>
            <c:numRef>
              <c:f>'US MDM-5000'!$Y$236:$AD$236</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2-F715-EB4B-8521-59FDE7560D68}"/>
            </c:ext>
          </c:extLst>
        </c:ser>
        <c:dLbls>
          <c:showLegendKey val="0"/>
          <c:showVal val="0"/>
          <c:showCatName val="0"/>
          <c:showSerName val="0"/>
          <c:showPercent val="0"/>
          <c:showBubbleSize val="0"/>
        </c:dLbls>
        <c:gapWidth val="15"/>
        <c:overlap val="100"/>
        <c:axId val="11440304"/>
        <c:axId val="11442624"/>
      </c:barChart>
      <c:catAx>
        <c:axId val="11440304"/>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11442624"/>
        <c:crosses val="autoZero"/>
        <c:auto val="1"/>
        <c:lblAlgn val="ctr"/>
        <c:lblOffset val="100"/>
        <c:noMultiLvlLbl val="0"/>
      </c:catAx>
      <c:valAx>
        <c:axId val="11442624"/>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11440304"/>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rgbClr val="FFFFFF"/>
                </a:solidFill>
              </a:defRPr>
            </a:pPr>
            <a:r>
              <a:rPr lang="en-US" sz="1200">
                <a:solidFill>
                  <a:srgbClr val="FFFFFF"/>
                </a:solidFill>
              </a:rPr>
              <a:t>Cable</a:t>
            </a:r>
            <a:r>
              <a:rPr lang="en-US" sz="1200" baseline="0">
                <a:solidFill>
                  <a:srgbClr val="FFFFFF"/>
                </a:solidFill>
              </a:rPr>
              <a:t> loss %</a:t>
            </a:r>
          </a:p>
        </c:rich>
      </c:tx>
      <c:overlay val="0"/>
    </c:title>
    <c:autoTitleDeleted val="0"/>
    <c:plotArea>
      <c:layout/>
      <c:barChart>
        <c:barDir val="col"/>
        <c:grouping val="stacked"/>
        <c:varyColors val="0"/>
        <c:ser>
          <c:idx val="0"/>
          <c:order val="0"/>
          <c:invertIfNegative val="0"/>
          <c:val>
            <c:numRef>
              <c:f>'US MDM-5000'!$Y$239:$AD$239</c:f>
              <c:numCache>
                <c:formatCode>General</c:formatCode>
                <c:ptCount val="6"/>
                <c:pt idx="0">
                  <c:v>-5.9427375462168648</c:v>
                </c:pt>
                <c:pt idx="1">
                  <c:v>-5.9427375462168888</c:v>
                </c:pt>
                <c:pt idx="2">
                  <c:v>-5.9427375462168648</c:v>
                </c:pt>
                <c:pt idx="3">
                  <c:v>-4.3391417004123136</c:v>
                </c:pt>
                <c:pt idx="4">
                  <c:v>-4.3391417004123323</c:v>
                </c:pt>
                <c:pt idx="5">
                  <c:v>-4.3391417004123136</c:v>
                </c:pt>
              </c:numCache>
            </c:numRef>
          </c:val>
          <c:extLst>
            <c:ext xmlns:c16="http://schemas.microsoft.com/office/drawing/2014/chart" uri="{C3380CC4-5D6E-409C-BE32-E72D297353CC}">
              <c16:uniqueId val="{00000000-E46E-C042-9BFF-FE2F9D0A8236}"/>
            </c:ext>
          </c:extLst>
        </c:ser>
        <c:ser>
          <c:idx val="1"/>
          <c:order val="1"/>
          <c:invertIfNegative val="0"/>
          <c:val>
            <c:numRef>
              <c:f>'US MDM-5000'!$Y$240:$AD$240</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1-E46E-C042-9BFF-FE2F9D0A8236}"/>
            </c:ext>
          </c:extLst>
        </c:ser>
        <c:dLbls>
          <c:showLegendKey val="0"/>
          <c:showVal val="0"/>
          <c:showCatName val="0"/>
          <c:showSerName val="0"/>
          <c:showPercent val="0"/>
          <c:showBubbleSize val="0"/>
        </c:dLbls>
        <c:gapWidth val="0"/>
        <c:overlap val="100"/>
        <c:axId val="-28351136"/>
        <c:axId val="-28348816"/>
      </c:barChart>
      <c:catAx>
        <c:axId val="-28351136"/>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28348816"/>
        <c:crosses val="autoZero"/>
        <c:auto val="1"/>
        <c:lblAlgn val="ctr"/>
        <c:lblOffset val="100"/>
        <c:noMultiLvlLbl val="0"/>
      </c:catAx>
      <c:valAx>
        <c:axId val="-28348816"/>
        <c:scaling>
          <c:orientation val="minMax"/>
          <c:max val="0"/>
          <c:min val="-2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28351136"/>
        <c:crosses val="autoZero"/>
        <c:crossBetween val="between"/>
      </c:valAx>
      <c:spPr>
        <a:solidFill>
          <a:schemeClr val="tx1">
            <a:lumMod val="75000"/>
            <a:lumOff val="25000"/>
            <a:alpha val="0"/>
          </a:schemeClr>
        </a:solidFill>
        <a:ln>
          <a:noFill/>
        </a:ln>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lIns="2">
            <a:spAutoFit/>
          </a:bodyPr>
          <a:lstStyle/>
          <a:p>
            <a:pPr>
              <a:defRPr sz="1200">
                <a:solidFill>
                  <a:srgbClr val="FFFFFF"/>
                </a:solidFill>
              </a:defRPr>
            </a:pPr>
            <a:r>
              <a:rPr lang="en-US" sz="1200">
                <a:solidFill>
                  <a:srgbClr val="FFFFFF"/>
                </a:solidFill>
              </a:rPr>
              <a:t>Inlet</a:t>
            </a:r>
            <a:r>
              <a:rPr lang="en-US" sz="1200" baseline="0">
                <a:solidFill>
                  <a:srgbClr val="FFFFFF"/>
                </a:solidFill>
              </a:rPr>
              <a:t> Usage </a:t>
            </a:r>
          </a:p>
          <a:p>
            <a:pPr>
              <a:defRPr sz="1200">
                <a:solidFill>
                  <a:srgbClr val="FFFFFF"/>
                </a:solidFill>
              </a:defRPr>
            </a:pPr>
            <a:r>
              <a:rPr lang="en-US" sz="1200" baseline="0">
                <a:solidFill>
                  <a:srgbClr val="FFFFFF"/>
                </a:solidFill>
              </a:rPr>
              <a:t>MLTC +30% in %</a:t>
            </a:r>
          </a:p>
        </c:rich>
      </c:tx>
      <c:layout>
        <c:manualLayout>
          <c:xMode val="edge"/>
          <c:yMode val="edge"/>
          <c:x val="0.14041013351591899"/>
          <c:y val="4.8076923076923097E-3"/>
        </c:manualLayout>
      </c:layout>
      <c:overlay val="0"/>
    </c:title>
    <c:autoTitleDeleted val="0"/>
    <c:plotArea>
      <c:layout>
        <c:manualLayout>
          <c:layoutTarget val="inner"/>
          <c:xMode val="edge"/>
          <c:yMode val="edge"/>
          <c:x val="0.28618969219756601"/>
          <c:y val="0.172115384615385"/>
          <c:w val="0.59562848962061599"/>
          <c:h val="0.70602589339794097"/>
        </c:manualLayout>
      </c:layout>
      <c:barChart>
        <c:barDir val="col"/>
        <c:grouping val="stacked"/>
        <c:varyColors val="0"/>
        <c:ser>
          <c:idx val="0"/>
          <c:order val="0"/>
          <c:invertIfNegative val="0"/>
          <c:dLbls>
            <c:dLbl>
              <c:idx val="0"/>
              <c:layout>
                <c:manualLayout>
                  <c:x val="0"/>
                  <c:y val="-1.65563041958357E-16"/>
                </c:manualLayout>
              </c:layout>
              <c:numFmt formatCode="#\ &quot;%&quot;" sourceLinked="0"/>
              <c:spPr>
                <a:noFill/>
                <a:ln>
                  <a:noFill/>
                </a:ln>
                <a:effectLst/>
              </c:spPr>
              <c:txPr>
                <a:bodyPr wrap="square" lIns="38100" tIns="19050" rIns="38100" bIns="19050" anchor="ctr">
                  <a:noAutofit/>
                </a:bodyPr>
                <a:lstStyle/>
                <a:p>
                  <a:pPr>
                    <a:defRPr>
                      <a:solidFill>
                        <a:schemeClr val="tx1">
                          <a:lumMod val="75000"/>
                          <a:lumOff val="25000"/>
                        </a:schemeClr>
                      </a:solidFill>
                    </a:defRPr>
                  </a:pPr>
                  <a:endParaRPr lang="en-CH"/>
                </a:p>
              </c:txPr>
              <c:showLegendKey val="0"/>
              <c:showVal val="1"/>
              <c:showCatName val="0"/>
              <c:showSerName val="0"/>
              <c:showPercent val="0"/>
              <c:showBubbleSize val="0"/>
              <c:extLst>
                <c:ext xmlns:c15="http://schemas.microsoft.com/office/drawing/2012/chart" uri="{CE6537A1-D6FC-4f65-9D91-7224C49458BB}">
                  <c15:layout>
                    <c:manualLayout>
                      <c:w val="0.34904347826087001"/>
                      <c:h val="0.12376732921092"/>
                    </c:manualLayout>
                  </c15:layout>
                </c:ext>
                <c:ext xmlns:c16="http://schemas.microsoft.com/office/drawing/2014/chart" uri="{C3380CC4-5D6E-409C-BE32-E72D297353CC}">
                  <c16:uniqueId val="{00000000-E917-A343-A809-3C809C2FD64C}"/>
                </c:ext>
              </c:extLst>
            </c:dLbl>
            <c:numFmt formatCode="#\ &quot;%&quot;" sourceLinked="0"/>
            <c:spPr>
              <a:noFill/>
              <a:ln>
                <a:noFill/>
              </a:ln>
              <a:effectLst/>
            </c:spPr>
            <c:txPr>
              <a:bodyPr wrap="square" lIns="38100" tIns="19050" rIns="38100" bIns="19050" anchor="ctr">
                <a:spAutoFit/>
              </a:bodyPr>
              <a:lstStyle/>
              <a:p>
                <a:pPr>
                  <a:defRPr>
                    <a:solidFill>
                      <a:schemeClr val="tx1">
                        <a:lumMod val="75000"/>
                        <a:lumOff val="25000"/>
                      </a:schemeClr>
                    </a:solidFill>
                  </a:defRPr>
                </a:pPr>
                <a:endParaRPr lang="en-CH"/>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'US MDM-832'!$X$32</c:f>
              <c:numCache>
                <c:formatCode>General</c:formatCode>
                <c:ptCount val="1"/>
                <c:pt idx="0">
                  <c:v>54.505208333333336</c:v>
                </c:pt>
              </c:numCache>
            </c:numRef>
          </c:val>
          <c:extLst>
            <c:ext xmlns:c16="http://schemas.microsoft.com/office/drawing/2014/chart" uri="{C3380CC4-5D6E-409C-BE32-E72D297353CC}">
              <c16:uniqueId val="{00000001-E917-A343-A809-3C809C2FD64C}"/>
            </c:ext>
          </c:extLst>
        </c:ser>
        <c:ser>
          <c:idx val="1"/>
          <c:order val="1"/>
          <c:invertIfNegative val="0"/>
          <c:val>
            <c:numRef>
              <c:f>'US MDM-832'!$X$33</c:f>
              <c:numCache>
                <c:formatCode>General</c:formatCode>
                <c:ptCount val="1"/>
                <c:pt idx="0">
                  <c:v>#N/A</c:v>
                </c:pt>
              </c:numCache>
            </c:numRef>
          </c:val>
          <c:extLst>
            <c:ext xmlns:c16="http://schemas.microsoft.com/office/drawing/2014/chart" uri="{C3380CC4-5D6E-409C-BE32-E72D297353CC}">
              <c16:uniqueId val="{00000002-E917-A343-A809-3C809C2FD64C}"/>
            </c:ext>
          </c:extLst>
        </c:ser>
        <c:dLbls>
          <c:showLegendKey val="0"/>
          <c:showVal val="0"/>
          <c:showCatName val="0"/>
          <c:showSerName val="0"/>
          <c:showPercent val="0"/>
          <c:showBubbleSize val="0"/>
        </c:dLbls>
        <c:gapWidth val="15"/>
        <c:overlap val="100"/>
        <c:axId val="241887776"/>
        <c:axId val="639695792"/>
      </c:barChart>
      <c:catAx>
        <c:axId val="241887776"/>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639695792"/>
        <c:crosses val="autoZero"/>
        <c:auto val="1"/>
        <c:lblAlgn val="ctr"/>
        <c:lblOffset val="100"/>
        <c:noMultiLvlLbl val="0"/>
      </c:catAx>
      <c:valAx>
        <c:axId val="639695792"/>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241887776"/>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rgbClr val="FFFFFF"/>
                </a:solidFill>
              </a:defRPr>
            </a:pPr>
            <a:r>
              <a:rPr lang="en-US" sz="1200">
                <a:solidFill>
                  <a:srgbClr val="FFFFFF"/>
                </a:solidFill>
              </a:rPr>
              <a:t>Cable</a:t>
            </a:r>
            <a:r>
              <a:rPr lang="en-US" sz="1200" baseline="0">
                <a:solidFill>
                  <a:srgbClr val="FFFFFF"/>
                </a:solidFill>
              </a:rPr>
              <a:t> loss %</a:t>
            </a:r>
          </a:p>
        </c:rich>
      </c:tx>
      <c:overlay val="0"/>
    </c:title>
    <c:autoTitleDeleted val="0"/>
    <c:plotArea>
      <c:layout/>
      <c:barChart>
        <c:barDir val="col"/>
        <c:grouping val="stacked"/>
        <c:varyColors val="0"/>
        <c:ser>
          <c:idx val="0"/>
          <c:order val="0"/>
          <c:invertIfNegative val="0"/>
          <c:val>
            <c:numRef>
              <c:f>'US MDM-832'!$AC$32:$AJ$32</c:f>
              <c:numCache>
                <c:formatCode>General</c:formatCode>
                <c:ptCount val="8"/>
                <c:pt idx="0">
                  <c:v>-1.2203836032409654</c:v>
                </c:pt>
                <c:pt idx="1">
                  <c:v>-1.2203836032409654</c:v>
                </c:pt>
                <c:pt idx="2">
                  <c:v>-1.2203836032409654</c:v>
                </c:pt>
                <c:pt idx="3">
                  <c:v>-1.2203836032409654</c:v>
                </c:pt>
                <c:pt idx="4">
                  <c:v>-0.88433594437751106</c:v>
                </c:pt>
                <c:pt idx="5">
                  <c:v>-0.88433594437751106</c:v>
                </c:pt>
                <c:pt idx="6">
                  <c:v>-0.88433594437751106</c:v>
                </c:pt>
                <c:pt idx="7">
                  <c:v>-0.88433594437751106</c:v>
                </c:pt>
              </c:numCache>
            </c:numRef>
          </c:val>
          <c:extLst>
            <c:ext xmlns:c16="http://schemas.microsoft.com/office/drawing/2014/chart" uri="{C3380CC4-5D6E-409C-BE32-E72D297353CC}">
              <c16:uniqueId val="{00000000-D408-3842-ACDC-A2618AD5EDFE}"/>
            </c:ext>
          </c:extLst>
        </c:ser>
        <c:ser>
          <c:idx val="1"/>
          <c:order val="1"/>
          <c:invertIfNegative val="0"/>
          <c:val>
            <c:numRef>
              <c:f>'US MDM-832'!$AC$33:$AJ$33</c:f>
              <c:numCache>
                <c:formatCode>General</c:formatCode>
                <c:ptCount val="8"/>
                <c:pt idx="0">
                  <c:v>#N/A</c:v>
                </c:pt>
                <c:pt idx="1">
                  <c:v>#N/A</c:v>
                </c:pt>
                <c:pt idx="2">
                  <c:v>#N/A</c:v>
                </c:pt>
                <c:pt idx="3">
                  <c:v>#N/A</c:v>
                </c:pt>
                <c:pt idx="4">
                  <c:v>#N/A</c:v>
                </c:pt>
                <c:pt idx="5">
                  <c:v>#N/A</c:v>
                </c:pt>
                <c:pt idx="6">
                  <c:v>#N/A</c:v>
                </c:pt>
                <c:pt idx="7">
                  <c:v>#N/A</c:v>
                </c:pt>
              </c:numCache>
            </c:numRef>
          </c:val>
          <c:extLst>
            <c:ext xmlns:c16="http://schemas.microsoft.com/office/drawing/2014/chart" uri="{C3380CC4-5D6E-409C-BE32-E72D297353CC}">
              <c16:uniqueId val="{00000001-D408-3842-ACDC-A2618AD5EDFE}"/>
            </c:ext>
          </c:extLst>
        </c:ser>
        <c:dLbls>
          <c:showLegendKey val="0"/>
          <c:showVal val="0"/>
          <c:showCatName val="0"/>
          <c:showSerName val="0"/>
          <c:showPercent val="0"/>
          <c:showBubbleSize val="0"/>
        </c:dLbls>
        <c:gapWidth val="0"/>
        <c:overlap val="100"/>
        <c:axId val="-28390704"/>
        <c:axId val="-28388384"/>
      </c:barChart>
      <c:catAx>
        <c:axId val="-28390704"/>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28388384"/>
        <c:crosses val="autoZero"/>
        <c:auto val="1"/>
        <c:lblAlgn val="ctr"/>
        <c:lblOffset val="100"/>
        <c:noMultiLvlLbl val="0"/>
      </c:catAx>
      <c:valAx>
        <c:axId val="-28388384"/>
        <c:scaling>
          <c:orientation val="minMax"/>
          <c:max val="0"/>
          <c:min val="-1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28390704"/>
        <c:crosses val="autoZero"/>
        <c:crossBetween val="between"/>
      </c:valAx>
      <c:spPr>
        <a:noFill/>
        <a:ln w="25400">
          <a:noFill/>
        </a:ln>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solidFill>
                  <a:srgbClr val="FFFFFF"/>
                </a:solidFill>
              </a:defRPr>
            </a:pPr>
            <a:r>
              <a:rPr lang="en-US" sz="1200">
                <a:solidFill>
                  <a:srgbClr val="FFFFFF"/>
                </a:solidFill>
              </a:rPr>
              <a:t>Output Breaker</a:t>
            </a:r>
            <a:r>
              <a:rPr lang="en-US" sz="1200" baseline="0">
                <a:solidFill>
                  <a:srgbClr val="FFFFFF"/>
                </a:solidFill>
              </a:rPr>
              <a:t> load</a:t>
            </a:r>
          </a:p>
          <a:p>
            <a:pPr>
              <a:defRPr>
                <a:solidFill>
                  <a:srgbClr val="FFFFFF"/>
                </a:solidFill>
              </a:defRPr>
            </a:pPr>
            <a:r>
              <a:rPr lang="en-US" sz="1200" baseline="0">
                <a:solidFill>
                  <a:srgbClr val="FFFFFF"/>
                </a:solidFill>
              </a:rPr>
              <a:t>MLTC in %</a:t>
            </a:r>
            <a:endParaRPr lang="en-US" sz="1200">
              <a:solidFill>
                <a:srgbClr val="FFFFFF"/>
              </a:solidFill>
            </a:endParaRPr>
          </a:p>
        </c:rich>
      </c:tx>
      <c:layout>
        <c:manualLayout>
          <c:xMode val="edge"/>
          <c:yMode val="edge"/>
          <c:x val="0.14250039109349699"/>
          <c:y val="1.44578313253012E-2"/>
        </c:manualLayout>
      </c:layout>
      <c:overlay val="0"/>
    </c:title>
    <c:autoTitleDeleted val="0"/>
    <c:plotArea>
      <c:layout>
        <c:manualLayout>
          <c:layoutTarget val="inner"/>
          <c:xMode val="edge"/>
          <c:yMode val="edge"/>
          <c:x val="0.20848255723001499"/>
          <c:y val="0.218795180722892"/>
          <c:w val="0.70542472753819696"/>
          <c:h val="0.65905246181576704"/>
        </c:manualLayout>
      </c:layout>
      <c:barChart>
        <c:barDir val="col"/>
        <c:grouping val="stacked"/>
        <c:varyColors val="0"/>
        <c:ser>
          <c:idx val="0"/>
          <c:order val="0"/>
          <c:invertIfNegative val="0"/>
          <c:dLbls>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'US MDM-832'!$Y$32:$Z$32</c:f>
              <c:numCache>
                <c:formatCode>General</c:formatCode>
                <c:ptCount val="2"/>
                <c:pt idx="0">
                  <c:v>43.444444444444443</c:v>
                </c:pt>
                <c:pt idx="1">
                  <c:v>46</c:v>
                </c:pt>
              </c:numCache>
            </c:numRef>
          </c:val>
          <c:extLst>
            <c:ext xmlns:c16="http://schemas.microsoft.com/office/drawing/2014/chart" uri="{C3380CC4-5D6E-409C-BE32-E72D297353CC}">
              <c16:uniqueId val="{00000000-0CD6-0142-9130-1EBBFED7D01A}"/>
            </c:ext>
          </c:extLst>
        </c:ser>
        <c:ser>
          <c:idx val="1"/>
          <c:order val="1"/>
          <c:invertIfNegative val="0"/>
          <c:val>
            <c:numRef>
              <c:f>'US MDM-832'!$Y$33:$Z$33</c:f>
              <c:numCache>
                <c:formatCode>General</c:formatCode>
                <c:ptCount val="2"/>
                <c:pt idx="0">
                  <c:v>#N/A</c:v>
                </c:pt>
                <c:pt idx="1">
                  <c:v>#N/A</c:v>
                </c:pt>
              </c:numCache>
            </c:numRef>
          </c:val>
          <c:extLst>
            <c:ext xmlns:c16="http://schemas.microsoft.com/office/drawing/2014/chart" uri="{C3380CC4-5D6E-409C-BE32-E72D297353CC}">
              <c16:uniqueId val="{00000001-0CD6-0142-9130-1EBBFED7D01A}"/>
            </c:ext>
          </c:extLst>
        </c:ser>
        <c:dLbls>
          <c:showLegendKey val="0"/>
          <c:showVal val="0"/>
          <c:showCatName val="0"/>
          <c:showSerName val="0"/>
          <c:showPercent val="0"/>
          <c:showBubbleSize val="0"/>
        </c:dLbls>
        <c:gapWidth val="15"/>
        <c:overlap val="100"/>
        <c:axId val="639727648"/>
        <c:axId val="-18566496"/>
      </c:barChart>
      <c:catAx>
        <c:axId val="639727648"/>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18566496"/>
        <c:crosses val="autoZero"/>
        <c:auto val="1"/>
        <c:lblAlgn val="ctr"/>
        <c:lblOffset val="100"/>
        <c:noMultiLvlLbl val="0"/>
      </c:catAx>
      <c:valAx>
        <c:axId val="-18566496"/>
        <c:scaling>
          <c:orientation val="minMax"/>
          <c:max val="12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639727648"/>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a:solidFill>
                  <a:schemeClr val="bg1"/>
                </a:solidFill>
              </a:rPr>
              <a:t>Breaker 1 branches</a:t>
            </a:r>
          </a:p>
        </c:rich>
      </c:tx>
      <c:overlay val="0"/>
    </c:title>
    <c:autoTitleDeleted val="0"/>
    <c:plotArea>
      <c:layout/>
      <c:pieChart>
        <c:varyColors val="1"/>
        <c:ser>
          <c:idx val="0"/>
          <c:order val="0"/>
          <c:spPr>
            <a:solidFill>
              <a:schemeClr val="accent1">
                <a:lumMod val="75000"/>
              </a:schemeClr>
            </a:solidFill>
            <a:ln>
              <a:solidFill>
                <a:schemeClr val="tx1">
                  <a:lumMod val="75000"/>
                  <a:lumOff val="25000"/>
                  <a:alpha val="0"/>
                </a:schemeClr>
              </a:solidFill>
            </a:ln>
          </c:spPr>
          <c:dPt>
            <c:idx val="1"/>
            <c:bubble3D val="0"/>
            <c:spPr>
              <a:solidFill>
                <a:schemeClr val="accent1">
                  <a:lumMod val="60000"/>
                  <a:lumOff val="40000"/>
                </a:schemeClr>
              </a:solidFill>
              <a:ln>
                <a:solidFill>
                  <a:schemeClr val="tx1">
                    <a:lumMod val="75000"/>
                    <a:lumOff val="25000"/>
                    <a:alpha val="0"/>
                  </a:schemeClr>
                </a:solidFill>
              </a:ln>
            </c:spPr>
            <c:extLst>
              <c:ext xmlns:c16="http://schemas.microsoft.com/office/drawing/2014/chart" uri="{C3380CC4-5D6E-409C-BE32-E72D297353CC}">
                <c16:uniqueId val="{00000001-578A-6D49-A2AE-4AB008F7EB9F}"/>
              </c:ext>
            </c:extLst>
          </c:dPt>
          <c:dPt>
            <c:idx val="2"/>
            <c:bubble3D val="0"/>
            <c:spPr>
              <a:solidFill>
                <a:schemeClr val="accent1">
                  <a:lumMod val="40000"/>
                  <a:lumOff val="60000"/>
                </a:schemeClr>
              </a:solidFill>
              <a:ln>
                <a:solidFill>
                  <a:schemeClr val="tx1">
                    <a:lumMod val="75000"/>
                    <a:lumOff val="25000"/>
                    <a:alpha val="0"/>
                  </a:schemeClr>
                </a:solidFill>
              </a:ln>
            </c:spPr>
            <c:extLst>
              <c:ext xmlns:c16="http://schemas.microsoft.com/office/drawing/2014/chart" uri="{C3380CC4-5D6E-409C-BE32-E72D297353CC}">
                <c16:uniqueId val="{00000003-578A-6D49-A2AE-4AB008F7EB9F}"/>
              </c:ext>
            </c:extLst>
          </c:dPt>
          <c:dPt>
            <c:idx val="3"/>
            <c:bubble3D val="0"/>
            <c:spPr>
              <a:solidFill>
                <a:schemeClr val="accent1">
                  <a:lumMod val="20000"/>
                  <a:lumOff val="80000"/>
                </a:schemeClr>
              </a:solidFill>
              <a:ln>
                <a:solidFill>
                  <a:schemeClr val="tx1">
                    <a:lumMod val="75000"/>
                    <a:lumOff val="25000"/>
                    <a:alpha val="0"/>
                  </a:schemeClr>
                </a:solidFill>
              </a:ln>
            </c:spPr>
            <c:extLst>
              <c:ext xmlns:c16="http://schemas.microsoft.com/office/drawing/2014/chart" uri="{C3380CC4-5D6E-409C-BE32-E72D297353CC}">
                <c16:uniqueId val="{00000005-578A-6D49-A2AE-4AB008F7EB9F}"/>
              </c:ext>
            </c:extLst>
          </c:dPt>
          <c:dLbls>
            <c:spPr>
              <a:noFill/>
            </c:spPr>
            <c:txPr>
              <a:bodyPr/>
              <a:lstStyle/>
              <a:p>
                <a:pPr>
                  <a:defRPr sz="1200" b="1" i="1">
                    <a:solidFill>
                      <a:schemeClr val="tx1">
                        <a:lumMod val="75000"/>
                        <a:lumOff val="25000"/>
                      </a:schemeClr>
                    </a:solidFill>
                  </a:defRPr>
                </a:pPr>
                <a:endParaRPr lang="en-CH"/>
              </a:p>
            </c:txPr>
            <c:showLegendKey val="0"/>
            <c:showVal val="0"/>
            <c:showCatName val="1"/>
            <c:showSerName val="0"/>
            <c:showPercent val="1"/>
            <c:showBubbleSize val="0"/>
            <c:showLeaderLines val="1"/>
            <c:extLst>
              <c:ext xmlns:c15="http://schemas.microsoft.com/office/drawing/2012/chart" uri="{CE6537A1-D6FC-4f65-9D91-7224C49458BB}"/>
            </c:extLst>
          </c:dLbls>
          <c:cat>
            <c:numRef>
              <c:f>('US MDM-832'!$D$8,'US MDM-832'!$F$8,'US MDM-832'!$H$8,'US MDM-832'!$J$8)</c:f>
              <c:numCache>
                <c:formatCode>General</c:formatCode>
                <c:ptCount val="4"/>
                <c:pt idx="0">
                  <c:v>1</c:v>
                </c:pt>
                <c:pt idx="1">
                  <c:v>2</c:v>
                </c:pt>
                <c:pt idx="2">
                  <c:v>3</c:v>
                </c:pt>
                <c:pt idx="3">
                  <c:v>4</c:v>
                </c:pt>
              </c:numCache>
            </c:numRef>
          </c:cat>
          <c:val>
            <c:numRef>
              <c:f>('US MDM-832'!$D$14,'US MDM-832'!$F$14,'US MDM-832'!$H$14,'US MDM-832'!$J$14)</c:f>
              <c:numCache>
                <c:formatCode>0.0</c:formatCode>
                <c:ptCount val="4"/>
                <c:pt idx="0">
                  <c:v>1.6291666666666667</c:v>
                </c:pt>
                <c:pt idx="1">
                  <c:v>1.6291666666666667</c:v>
                </c:pt>
                <c:pt idx="2">
                  <c:v>1.6291666666666667</c:v>
                </c:pt>
                <c:pt idx="3">
                  <c:v>1.6291666666666667</c:v>
                </c:pt>
              </c:numCache>
            </c:numRef>
          </c:val>
          <c:extLst>
            <c:ext xmlns:c16="http://schemas.microsoft.com/office/drawing/2014/chart" uri="{C3380CC4-5D6E-409C-BE32-E72D297353CC}">
              <c16:uniqueId val="{00000006-578A-6D49-A2AE-4AB008F7EB9F}"/>
            </c:ext>
          </c:extLst>
        </c:ser>
        <c:dLbls>
          <c:showLegendKey val="0"/>
          <c:showVal val="0"/>
          <c:showCatName val="0"/>
          <c:showSerName val="0"/>
          <c:showPercent val="1"/>
          <c:showBubbleSize val="0"/>
          <c:showLeaderLines val="1"/>
        </c:dLbls>
        <c:firstSliceAng val="0"/>
      </c:pieChart>
    </c:plotArea>
    <c:plotVisOnly val="1"/>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chemeClr val="bg1"/>
                </a:solidFill>
              </a:defRPr>
            </a:pPr>
            <a:r>
              <a:rPr lang="en-US" sz="1200">
                <a:solidFill>
                  <a:schemeClr val="bg1"/>
                </a:solidFill>
              </a:rPr>
              <a:t>Input</a:t>
            </a:r>
            <a:r>
              <a:rPr lang="en-US" sz="1200" baseline="0">
                <a:solidFill>
                  <a:schemeClr val="bg1"/>
                </a:solidFill>
              </a:rPr>
              <a:t> Balance MLTC %</a:t>
            </a:r>
          </a:p>
        </c:rich>
      </c:tx>
      <c:overlay val="0"/>
    </c:title>
    <c:autoTitleDeleted val="0"/>
    <c:plotArea>
      <c:layout/>
      <c:barChart>
        <c:barDir val="col"/>
        <c:grouping val="stacked"/>
        <c:varyColors val="0"/>
        <c:ser>
          <c:idx val="0"/>
          <c:order val="0"/>
          <c:invertIfNegative val="0"/>
          <c:dLbls>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MDM-5000'!$T$66:$V$66</c:f>
              <c:numCache>
                <c:formatCode>General</c:formatCode>
                <c:ptCount val="3"/>
                <c:pt idx="0">
                  <c:v>89.375</c:v>
                </c:pt>
                <c:pt idx="1">
                  <c:v>89.375</c:v>
                </c:pt>
                <c:pt idx="2">
                  <c:v>89.375</c:v>
                </c:pt>
              </c:numCache>
            </c:numRef>
          </c:val>
          <c:extLst>
            <c:ext xmlns:c16="http://schemas.microsoft.com/office/drawing/2014/chart" uri="{C3380CC4-5D6E-409C-BE32-E72D297353CC}">
              <c16:uniqueId val="{00000000-7AF9-9542-AC94-0DBFBC4739D4}"/>
            </c:ext>
          </c:extLst>
        </c:ser>
        <c:ser>
          <c:idx val="1"/>
          <c:order val="1"/>
          <c:invertIfNegative val="0"/>
          <c:val>
            <c:numRef>
              <c:f>'EU MDM-5000'!$T$67:$V$67</c:f>
              <c:numCache>
                <c:formatCode>General</c:formatCode>
                <c:ptCount val="3"/>
                <c:pt idx="0">
                  <c:v>#N/A</c:v>
                </c:pt>
                <c:pt idx="1">
                  <c:v>#N/A</c:v>
                </c:pt>
                <c:pt idx="2">
                  <c:v>#N/A</c:v>
                </c:pt>
              </c:numCache>
            </c:numRef>
          </c:val>
          <c:extLst>
            <c:ext xmlns:c16="http://schemas.microsoft.com/office/drawing/2014/chart" uri="{C3380CC4-5D6E-409C-BE32-E72D297353CC}">
              <c16:uniqueId val="{00000001-7AF9-9542-AC94-0DBFBC4739D4}"/>
            </c:ext>
          </c:extLst>
        </c:ser>
        <c:dLbls>
          <c:showLegendKey val="0"/>
          <c:showVal val="0"/>
          <c:showCatName val="0"/>
          <c:showSerName val="0"/>
          <c:showPercent val="0"/>
          <c:showBubbleSize val="0"/>
        </c:dLbls>
        <c:gapWidth val="15"/>
        <c:overlap val="100"/>
        <c:axId val="640211056"/>
        <c:axId val="640213104"/>
      </c:barChart>
      <c:catAx>
        <c:axId val="640211056"/>
        <c:scaling>
          <c:orientation val="minMax"/>
        </c:scaling>
        <c:delete val="0"/>
        <c:axPos val="b"/>
        <c:majorTickMark val="out"/>
        <c:minorTickMark val="none"/>
        <c:tickLblPos val="nextTo"/>
        <c:spPr>
          <a:ln>
            <a:solidFill>
              <a:schemeClr val="bg1"/>
            </a:solidFill>
          </a:ln>
        </c:spPr>
        <c:txPr>
          <a:bodyPr/>
          <a:lstStyle/>
          <a:p>
            <a:pPr>
              <a:defRPr>
                <a:solidFill>
                  <a:schemeClr val="bg1"/>
                </a:solidFill>
              </a:defRPr>
            </a:pPr>
            <a:endParaRPr lang="en-CH"/>
          </a:p>
        </c:txPr>
        <c:crossAx val="640213104"/>
        <c:crosses val="autoZero"/>
        <c:auto val="1"/>
        <c:lblAlgn val="ctr"/>
        <c:lblOffset val="100"/>
        <c:noMultiLvlLbl val="0"/>
      </c:catAx>
      <c:valAx>
        <c:axId val="640213104"/>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noFill/>
          <a:ln>
            <a:solidFill>
              <a:schemeClr val="bg1"/>
            </a:solidFill>
          </a:ln>
        </c:spPr>
        <c:txPr>
          <a:bodyPr/>
          <a:lstStyle/>
          <a:p>
            <a:pPr>
              <a:defRPr>
                <a:solidFill>
                  <a:schemeClr val="bg1"/>
                </a:solidFill>
              </a:defRPr>
            </a:pPr>
            <a:endParaRPr lang="en-CH"/>
          </a:p>
        </c:txPr>
        <c:crossAx val="640211056"/>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sz="1200">
                <a:solidFill>
                  <a:schemeClr val="bg1"/>
                </a:solidFill>
              </a:rPr>
              <a:t>Breaker 2 branches</a:t>
            </a:r>
          </a:p>
        </c:rich>
      </c:tx>
      <c:overlay val="0"/>
    </c:title>
    <c:autoTitleDeleted val="0"/>
    <c:plotArea>
      <c:layout/>
      <c:pieChart>
        <c:varyColors val="1"/>
        <c:ser>
          <c:idx val="0"/>
          <c:order val="0"/>
          <c:spPr>
            <a:ln>
              <a:solidFill>
                <a:schemeClr val="tx1">
                  <a:lumMod val="75000"/>
                  <a:lumOff val="25000"/>
                  <a:alpha val="0"/>
                </a:schemeClr>
              </a:solidFill>
            </a:ln>
          </c:spPr>
          <c:dPt>
            <c:idx val="0"/>
            <c:bubble3D val="0"/>
            <c:spPr>
              <a:solidFill>
                <a:schemeClr val="accent1">
                  <a:lumMod val="75000"/>
                </a:schemeClr>
              </a:solidFill>
              <a:ln>
                <a:solidFill>
                  <a:schemeClr val="tx1">
                    <a:lumMod val="75000"/>
                    <a:lumOff val="25000"/>
                    <a:alpha val="0"/>
                  </a:schemeClr>
                </a:solidFill>
              </a:ln>
            </c:spPr>
            <c:extLst>
              <c:ext xmlns:c16="http://schemas.microsoft.com/office/drawing/2014/chart" uri="{C3380CC4-5D6E-409C-BE32-E72D297353CC}">
                <c16:uniqueId val="{00000001-A46D-2D43-8E15-4D2642058FE5}"/>
              </c:ext>
            </c:extLst>
          </c:dPt>
          <c:dPt>
            <c:idx val="1"/>
            <c:bubble3D val="0"/>
            <c:spPr>
              <a:solidFill>
                <a:schemeClr val="accent1">
                  <a:lumMod val="60000"/>
                  <a:lumOff val="40000"/>
                </a:schemeClr>
              </a:solidFill>
              <a:ln>
                <a:solidFill>
                  <a:schemeClr val="tx1">
                    <a:lumMod val="75000"/>
                    <a:lumOff val="25000"/>
                    <a:alpha val="0"/>
                  </a:schemeClr>
                </a:solidFill>
              </a:ln>
            </c:spPr>
            <c:extLst>
              <c:ext xmlns:c16="http://schemas.microsoft.com/office/drawing/2014/chart" uri="{C3380CC4-5D6E-409C-BE32-E72D297353CC}">
                <c16:uniqueId val="{00000003-A46D-2D43-8E15-4D2642058FE5}"/>
              </c:ext>
            </c:extLst>
          </c:dPt>
          <c:dPt>
            <c:idx val="2"/>
            <c:bubble3D val="0"/>
            <c:spPr>
              <a:solidFill>
                <a:schemeClr val="accent1">
                  <a:lumMod val="40000"/>
                  <a:lumOff val="60000"/>
                </a:schemeClr>
              </a:solidFill>
              <a:ln>
                <a:solidFill>
                  <a:schemeClr val="tx1">
                    <a:lumMod val="75000"/>
                    <a:lumOff val="25000"/>
                    <a:alpha val="0"/>
                  </a:schemeClr>
                </a:solidFill>
              </a:ln>
            </c:spPr>
            <c:extLst>
              <c:ext xmlns:c16="http://schemas.microsoft.com/office/drawing/2014/chart" uri="{C3380CC4-5D6E-409C-BE32-E72D297353CC}">
                <c16:uniqueId val="{00000005-A46D-2D43-8E15-4D2642058FE5}"/>
              </c:ext>
            </c:extLst>
          </c:dPt>
          <c:dPt>
            <c:idx val="3"/>
            <c:bubble3D val="0"/>
            <c:spPr>
              <a:solidFill>
                <a:schemeClr val="accent1">
                  <a:lumMod val="20000"/>
                  <a:lumOff val="80000"/>
                </a:schemeClr>
              </a:solidFill>
              <a:ln>
                <a:solidFill>
                  <a:schemeClr val="tx1">
                    <a:lumMod val="75000"/>
                    <a:lumOff val="25000"/>
                    <a:alpha val="0"/>
                  </a:schemeClr>
                </a:solidFill>
              </a:ln>
            </c:spPr>
            <c:extLst>
              <c:ext xmlns:c16="http://schemas.microsoft.com/office/drawing/2014/chart" uri="{C3380CC4-5D6E-409C-BE32-E72D297353CC}">
                <c16:uniqueId val="{00000007-A46D-2D43-8E15-4D2642058FE5}"/>
              </c:ext>
            </c:extLst>
          </c:dPt>
          <c:dLbls>
            <c:spPr>
              <a:noFill/>
              <a:ln>
                <a:noFill/>
              </a:ln>
              <a:effectLst/>
            </c:spPr>
            <c:txPr>
              <a:bodyPr/>
              <a:lstStyle/>
              <a:p>
                <a:pPr>
                  <a:defRPr sz="1200" b="1" i="1">
                    <a:solidFill>
                      <a:srgbClr val="404040"/>
                    </a:solidFill>
                  </a:defRPr>
                </a:pPr>
                <a:endParaRPr lang="en-CH"/>
              </a:p>
            </c:txPr>
            <c:showLegendKey val="0"/>
            <c:showVal val="0"/>
            <c:showCatName val="1"/>
            <c:showSerName val="0"/>
            <c:showPercent val="1"/>
            <c:showBubbleSize val="0"/>
            <c:showLeaderLines val="1"/>
            <c:extLst>
              <c:ext xmlns:c15="http://schemas.microsoft.com/office/drawing/2012/chart" uri="{CE6537A1-D6FC-4f65-9D91-7224C49458BB}"/>
            </c:extLst>
          </c:dLbls>
          <c:cat>
            <c:numRef>
              <c:f>('US MDM-832'!$L$8,'US MDM-832'!$N$8,'US MDM-832'!$P$8,'US MDM-832'!$R$8)</c:f>
              <c:numCache>
                <c:formatCode>General</c:formatCode>
                <c:ptCount val="4"/>
                <c:pt idx="0">
                  <c:v>5</c:v>
                </c:pt>
                <c:pt idx="1">
                  <c:v>6</c:v>
                </c:pt>
                <c:pt idx="2">
                  <c:v>7</c:v>
                </c:pt>
                <c:pt idx="3">
                  <c:v>8</c:v>
                </c:pt>
              </c:numCache>
            </c:numRef>
          </c:cat>
          <c:val>
            <c:numRef>
              <c:f>('US MDM-832'!$L$14,'US MDM-832'!$N$14,'US MDM-832'!$P$14,'US MDM-832'!$R$14)</c:f>
              <c:numCache>
                <c:formatCode>0.0</c:formatCode>
                <c:ptCount val="4"/>
                <c:pt idx="0">
                  <c:v>1.7250000000000001</c:v>
                </c:pt>
                <c:pt idx="1">
                  <c:v>1.7250000000000001</c:v>
                </c:pt>
                <c:pt idx="2">
                  <c:v>1.7250000000000001</c:v>
                </c:pt>
                <c:pt idx="3">
                  <c:v>1.7250000000000001</c:v>
                </c:pt>
              </c:numCache>
            </c:numRef>
          </c:val>
          <c:extLst>
            <c:ext xmlns:c16="http://schemas.microsoft.com/office/drawing/2014/chart" uri="{C3380CC4-5D6E-409C-BE32-E72D297353CC}">
              <c16:uniqueId val="{00000008-A46D-2D43-8E15-4D2642058FE5}"/>
            </c:ext>
          </c:extLst>
        </c:ser>
        <c:dLbls>
          <c:showLegendKey val="0"/>
          <c:showVal val="0"/>
          <c:showCatName val="0"/>
          <c:showSerName val="0"/>
          <c:showPercent val="1"/>
          <c:showBubbleSize val="0"/>
          <c:showLeaderLines val="1"/>
        </c:dLbls>
        <c:firstSliceAng val="0"/>
      </c:pieChart>
    </c:plotArea>
    <c:plotVisOnly val="1"/>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chemeClr val="bg1"/>
                </a:solidFill>
              </a:defRPr>
            </a:pPr>
            <a:r>
              <a:rPr lang="en-US" sz="1200">
                <a:solidFill>
                  <a:schemeClr val="bg1"/>
                </a:solidFill>
              </a:rPr>
              <a:t>Branch Balance</a:t>
            </a:r>
            <a:r>
              <a:rPr lang="en-US" sz="1200" baseline="0">
                <a:solidFill>
                  <a:schemeClr val="bg1"/>
                </a:solidFill>
              </a:rPr>
              <a:t> MLTC %</a:t>
            </a:r>
          </a:p>
        </c:rich>
      </c:tx>
      <c:overlay val="0"/>
    </c:title>
    <c:autoTitleDeleted val="0"/>
    <c:plotArea>
      <c:layout/>
      <c:barChart>
        <c:barDir val="col"/>
        <c:grouping val="stacked"/>
        <c:varyColors val="0"/>
        <c:ser>
          <c:idx val="0"/>
          <c:order val="0"/>
          <c:invertIfNegative val="0"/>
          <c:dLbls>
            <c:numFmt formatCode="#\ &quot;%&quot;"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'EU MDM-5000'!$Y$66:$AD$66</c:f>
              <c:numCache>
                <c:formatCode>General</c:formatCode>
                <c:ptCount val="6"/>
                <c:pt idx="0">
                  <c:v>75</c:v>
                </c:pt>
                <c:pt idx="1">
                  <c:v>75</c:v>
                </c:pt>
                <c:pt idx="2">
                  <c:v>75</c:v>
                </c:pt>
                <c:pt idx="3">
                  <c:v>62.5</c:v>
                </c:pt>
                <c:pt idx="4">
                  <c:v>62.5</c:v>
                </c:pt>
                <c:pt idx="5">
                  <c:v>62.5</c:v>
                </c:pt>
              </c:numCache>
            </c:numRef>
          </c:val>
          <c:extLst>
            <c:ext xmlns:c16="http://schemas.microsoft.com/office/drawing/2014/chart" uri="{C3380CC4-5D6E-409C-BE32-E72D297353CC}">
              <c16:uniqueId val="{00000000-2DF2-0E41-A8E3-DC1B85FC0D1B}"/>
            </c:ext>
          </c:extLst>
        </c:ser>
        <c:ser>
          <c:idx val="1"/>
          <c:order val="1"/>
          <c:invertIfNegative val="0"/>
          <c:val>
            <c:numRef>
              <c:f>'EU MDM-5000'!$Y$67:$AD$67</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1-2DF2-0E41-A8E3-DC1B85FC0D1B}"/>
            </c:ext>
          </c:extLst>
        </c:ser>
        <c:dLbls>
          <c:showLegendKey val="0"/>
          <c:showVal val="0"/>
          <c:showCatName val="0"/>
          <c:showSerName val="0"/>
          <c:showPercent val="0"/>
          <c:showBubbleSize val="0"/>
        </c:dLbls>
        <c:gapWidth val="15"/>
        <c:overlap val="100"/>
        <c:axId val="640237040"/>
        <c:axId val="-10250624"/>
      </c:barChart>
      <c:catAx>
        <c:axId val="640237040"/>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10250624"/>
        <c:crosses val="autoZero"/>
        <c:auto val="1"/>
        <c:lblAlgn val="ctr"/>
        <c:lblOffset val="100"/>
        <c:noMultiLvlLbl val="0"/>
      </c:catAx>
      <c:valAx>
        <c:axId val="-10250624"/>
        <c:scaling>
          <c:orientation val="minMax"/>
          <c:max val="130"/>
          <c:min val="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640237040"/>
        <c:crosses val="autoZero"/>
        <c:crossBetween val="between"/>
      </c:valAx>
      <c:spPr>
        <a:solidFill>
          <a:schemeClr val="tx1">
            <a:lumMod val="75000"/>
            <a:lumOff val="25000"/>
            <a:alpha val="0"/>
          </a:schemeClr>
        </a:solidFill>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200">
                <a:solidFill>
                  <a:srgbClr val="FFFFFF"/>
                </a:solidFill>
              </a:defRPr>
            </a:pPr>
            <a:r>
              <a:rPr lang="en-US" sz="1200">
                <a:solidFill>
                  <a:srgbClr val="FFFFFF"/>
                </a:solidFill>
              </a:rPr>
              <a:t>Cable</a:t>
            </a:r>
            <a:r>
              <a:rPr lang="en-US" sz="1200" baseline="0">
                <a:solidFill>
                  <a:srgbClr val="FFFFFF"/>
                </a:solidFill>
              </a:rPr>
              <a:t> loss %</a:t>
            </a:r>
          </a:p>
        </c:rich>
      </c:tx>
      <c:overlay val="0"/>
    </c:title>
    <c:autoTitleDeleted val="0"/>
    <c:plotArea>
      <c:layout/>
      <c:barChart>
        <c:barDir val="col"/>
        <c:grouping val="stacked"/>
        <c:varyColors val="0"/>
        <c:ser>
          <c:idx val="0"/>
          <c:order val="0"/>
          <c:invertIfNegative val="0"/>
          <c:val>
            <c:numRef>
              <c:f>'EU MDM-5000'!$Y$70:$AD$70</c:f>
              <c:numCache>
                <c:formatCode>General</c:formatCode>
                <c:ptCount val="6"/>
                <c:pt idx="0">
                  <c:v>-6.3219035490848761</c:v>
                </c:pt>
                <c:pt idx="1">
                  <c:v>-6.3219035490848761</c:v>
                </c:pt>
                <c:pt idx="2">
                  <c:v>-6.3219035490848761</c:v>
                </c:pt>
                <c:pt idx="3">
                  <c:v>-4.6159930675857819</c:v>
                </c:pt>
                <c:pt idx="4">
                  <c:v>-4.6159930675857819</c:v>
                </c:pt>
                <c:pt idx="5">
                  <c:v>-4.6159930675857819</c:v>
                </c:pt>
              </c:numCache>
            </c:numRef>
          </c:val>
          <c:extLst>
            <c:ext xmlns:c16="http://schemas.microsoft.com/office/drawing/2014/chart" uri="{C3380CC4-5D6E-409C-BE32-E72D297353CC}">
              <c16:uniqueId val="{00000000-6B44-0846-9A94-7BE0B3ADE41E}"/>
            </c:ext>
          </c:extLst>
        </c:ser>
        <c:ser>
          <c:idx val="1"/>
          <c:order val="1"/>
          <c:invertIfNegative val="0"/>
          <c:val>
            <c:numRef>
              <c:f>'EU MDM-5000'!$Y$71:$AD$71</c:f>
              <c:numCache>
                <c:formatCode>General</c:formatCode>
                <c:ptCount val="6"/>
                <c:pt idx="0">
                  <c:v>#N/A</c:v>
                </c:pt>
                <c:pt idx="1">
                  <c:v>#N/A</c:v>
                </c:pt>
                <c:pt idx="2">
                  <c:v>#N/A</c:v>
                </c:pt>
                <c:pt idx="3">
                  <c:v>#N/A</c:v>
                </c:pt>
                <c:pt idx="4">
                  <c:v>#N/A</c:v>
                </c:pt>
                <c:pt idx="5">
                  <c:v>#N/A</c:v>
                </c:pt>
              </c:numCache>
            </c:numRef>
          </c:val>
          <c:extLst>
            <c:ext xmlns:c16="http://schemas.microsoft.com/office/drawing/2014/chart" uri="{C3380CC4-5D6E-409C-BE32-E72D297353CC}">
              <c16:uniqueId val="{00000001-6B44-0846-9A94-7BE0B3ADE41E}"/>
            </c:ext>
          </c:extLst>
        </c:ser>
        <c:dLbls>
          <c:showLegendKey val="0"/>
          <c:showVal val="0"/>
          <c:showCatName val="0"/>
          <c:showSerName val="0"/>
          <c:showPercent val="0"/>
          <c:showBubbleSize val="0"/>
        </c:dLbls>
        <c:gapWidth val="0"/>
        <c:overlap val="100"/>
        <c:axId val="640458176"/>
        <c:axId val="640460496"/>
      </c:barChart>
      <c:catAx>
        <c:axId val="640458176"/>
        <c:scaling>
          <c:orientation val="minMax"/>
        </c:scaling>
        <c:delete val="0"/>
        <c:axPos val="b"/>
        <c:majorTickMark val="out"/>
        <c:minorTickMark val="none"/>
        <c:tickLblPos val="nextTo"/>
        <c:spPr>
          <a:ln>
            <a:solidFill>
              <a:schemeClr val="bg1"/>
            </a:solidFill>
          </a:ln>
        </c:spPr>
        <c:txPr>
          <a:bodyPr/>
          <a:lstStyle/>
          <a:p>
            <a:pPr>
              <a:defRPr>
                <a:solidFill>
                  <a:srgbClr val="FFFFFF"/>
                </a:solidFill>
              </a:defRPr>
            </a:pPr>
            <a:endParaRPr lang="en-CH"/>
          </a:p>
        </c:txPr>
        <c:crossAx val="640460496"/>
        <c:crosses val="autoZero"/>
        <c:auto val="1"/>
        <c:lblAlgn val="ctr"/>
        <c:lblOffset val="100"/>
        <c:noMultiLvlLbl val="0"/>
      </c:catAx>
      <c:valAx>
        <c:axId val="640460496"/>
        <c:scaling>
          <c:orientation val="minMax"/>
          <c:max val="0"/>
          <c:min val="-20"/>
        </c:scaling>
        <c:delete val="0"/>
        <c:axPos val="l"/>
        <c:majorGridlines>
          <c:spPr>
            <a:ln>
              <a:solidFill>
                <a:schemeClr val="bg1"/>
              </a:solidFill>
            </a:ln>
          </c:spPr>
        </c:majorGridlines>
        <c:numFmt formatCode="General" sourceLinked="1"/>
        <c:majorTickMark val="out"/>
        <c:minorTickMark val="none"/>
        <c:tickLblPos val="nextTo"/>
        <c:spPr>
          <a:ln>
            <a:solidFill>
              <a:schemeClr val="bg1"/>
            </a:solidFill>
          </a:ln>
        </c:spPr>
        <c:txPr>
          <a:bodyPr/>
          <a:lstStyle/>
          <a:p>
            <a:pPr>
              <a:defRPr>
                <a:solidFill>
                  <a:srgbClr val="FFFFFF"/>
                </a:solidFill>
              </a:defRPr>
            </a:pPr>
            <a:endParaRPr lang="en-CH"/>
          </a:p>
        </c:txPr>
        <c:crossAx val="640458176"/>
        <c:crosses val="autoZero"/>
        <c:crossBetween val="between"/>
      </c:valAx>
      <c:spPr>
        <a:solidFill>
          <a:schemeClr val="tx1">
            <a:lumMod val="75000"/>
            <a:lumOff val="25000"/>
            <a:alpha val="0"/>
          </a:schemeClr>
        </a:solidFill>
        <a:ln>
          <a:noFill/>
        </a:ln>
      </c:spPr>
    </c:plotArea>
    <c:plotVisOnly val="0"/>
    <c:dispBlanksAs val="gap"/>
    <c:showDLblsOverMax val="0"/>
  </c:chart>
  <c:spPr>
    <a:solidFill>
      <a:schemeClr val="tx1">
        <a:lumMod val="75000"/>
        <a:lumOff val="25000"/>
        <a:alpha val="0"/>
      </a:schemeClr>
    </a:solidFill>
    <a:ln>
      <a:noFill/>
    </a:ln>
  </c:spPr>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1.xml"/><Relationship Id="rId13" Type="http://schemas.openxmlformats.org/officeDocument/2006/relationships/chart" Target="../charts/chart16.xml"/><Relationship Id="rId18" Type="http://schemas.openxmlformats.org/officeDocument/2006/relationships/chart" Target="../charts/chart21.xml"/><Relationship Id="rId3" Type="http://schemas.openxmlformats.org/officeDocument/2006/relationships/chart" Target="../charts/chart6.xml"/><Relationship Id="rId7" Type="http://schemas.openxmlformats.org/officeDocument/2006/relationships/chart" Target="../charts/chart10.xml"/><Relationship Id="rId12" Type="http://schemas.openxmlformats.org/officeDocument/2006/relationships/chart" Target="../charts/chart15.xml"/><Relationship Id="rId17" Type="http://schemas.openxmlformats.org/officeDocument/2006/relationships/chart" Target="../charts/chart20.xml"/><Relationship Id="rId2" Type="http://schemas.openxmlformats.org/officeDocument/2006/relationships/chart" Target="../charts/chart5.xml"/><Relationship Id="rId16" Type="http://schemas.openxmlformats.org/officeDocument/2006/relationships/chart" Target="../charts/chart19.xml"/><Relationship Id="rId1" Type="http://schemas.openxmlformats.org/officeDocument/2006/relationships/chart" Target="../charts/chart4.xml"/><Relationship Id="rId6" Type="http://schemas.openxmlformats.org/officeDocument/2006/relationships/chart" Target="../charts/chart9.xml"/><Relationship Id="rId11" Type="http://schemas.openxmlformats.org/officeDocument/2006/relationships/chart" Target="../charts/chart14.xml"/><Relationship Id="rId5" Type="http://schemas.openxmlformats.org/officeDocument/2006/relationships/chart" Target="../charts/chart8.xml"/><Relationship Id="rId15" Type="http://schemas.openxmlformats.org/officeDocument/2006/relationships/chart" Target="../charts/chart18.xml"/><Relationship Id="rId10" Type="http://schemas.openxmlformats.org/officeDocument/2006/relationships/chart" Target="../charts/chart13.xml"/><Relationship Id="rId4" Type="http://schemas.openxmlformats.org/officeDocument/2006/relationships/chart" Target="../charts/chart7.xml"/><Relationship Id="rId9" Type="http://schemas.openxmlformats.org/officeDocument/2006/relationships/chart" Target="../charts/chart12.xml"/><Relationship Id="rId14" Type="http://schemas.openxmlformats.org/officeDocument/2006/relationships/chart" Target="../charts/chart17.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9.xml"/><Relationship Id="rId13" Type="http://schemas.openxmlformats.org/officeDocument/2006/relationships/chart" Target="../charts/chart34.xml"/><Relationship Id="rId18" Type="http://schemas.openxmlformats.org/officeDocument/2006/relationships/chart" Target="../charts/chart39.xml"/><Relationship Id="rId26" Type="http://schemas.openxmlformats.org/officeDocument/2006/relationships/chart" Target="../charts/chart47.xml"/><Relationship Id="rId3" Type="http://schemas.openxmlformats.org/officeDocument/2006/relationships/chart" Target="../charts/chart24.xml"/><Relationship Id="rId21" Type="http://schemas.openxmlformats.org/officeDocument/2006/relationships/chart" Target="../charts/chart42.xml"/><Relationship Id="rId7" Type="http://schemas.openxmlformats.org/officeDocument/2006/relationships/chart" Target="../charts/chart28.xml"/><Relationship Id="rId12" Type="http://schemas.openxmlformats.org/officeDocument/2006/relationships/chart" Target="../charts/chart33.xml"/><Relationship Id="rId17" Type="http://schemas.openxmlformats.org/officeDocument/2006/relationships/chart" Target="../charts/chart38.xml"/><Relationship Id="rId25" Type="http://schemas.openxmlformats.org/officeDocument/2006/relationships/chart" Target="../charts/chart46.xml"/><Relationship Id="rId2" Type="http://schemas.openxmlformats.org/officeDocument/2006/relationships/chart" Target="../charts/chart23.xml"/><Relationship Id="rId16" Type="http://schemas.openxmlformats.org/officeDocument/2006/relationships/chart" Target="../charts/chart37.xml"/><Relationship Id="rId20" Type="http://schemas.openxmlformats.org/officeDocument/2006/relationships/chart" Target="../charts/chart41.xml"/><Relationship Id="rId29" Type="http://schemas.openxmlformats.org/officeDocument/2006/relationships/chart" Target="../charts/chart50.xml"/><Relationship Id="rId1" Type="http://schemas.openxmlformats.org/officeDocument/2006/relationships/chart" Target="../charts/chart22.xml"/><Relationship Id="rId6" Type="http://schemas.openxmlformats.org/officeDocument/2006/relationships/chart" Target="../charts/chart27.xml"/><Relationship Id="rId11" Type="http://schemas.openxmlformats.org/officeDocument/2006/relationships/chart" Target="../charts/chart32.xml"/><Relationship Id="rId24" Type="http://schemas.openxmlformats.org/officeDocument/2006/relationships/chart" Target="../charts/chart45.xml"/><Relationship Id="rId5" Type="http://schemas.openxmlformats.org/officeDocument/2006/relationships/chart" Target="../charts/chart26.xml"/><Relationship Id="rId15" Type="http://schemas.openxmlformats.org/officeDocument/2006/relationships/chart" Target="../charts/chart36.xml"/><Relationship Id="rId23" Type="http://schemas.openxmlformats.org/officeDocument/2006/relationships/chart" Target="../charts/chart44.xml"/><Relationship Id="rId28" Type="http://schemas.openxmlformats.org/officeDocument/2006/relationships/chart" Target="../charts/chart49.xml"/><Relationship Id="rId10" Type="http://schemas.openxmlformats.org/officeDocument/2006/relationships/chart" Target="../charts/chart31.xml"/><Relationship Id="rId19" Type="http://schemas.openxmlformats.org/officeDocument/2006/relationships/chart" Target="../charts/chart40.xml"/><Relationship Id="rId4" Type="http://schemas.openxmlformats.org/officeDocument/2006/relationships/chart" Target="../charts/chart25.xml"/><Relationship Id="rId9" Type="http://schemas.openxmlformats.org/officeDocument/2006/relationships/chart" Target="../charts/chart30.xml"/><Relationship Id="rId14" Type="http://schemas.openxmlformats.org/officeDocument/2006/relationships/chart" Target="../charts/chart35.xml"/><Relationship Id="rId22" Type="http://schemas.openxmlformats.org/officeDocument/2006/relationships/chart" Target="../charts/chart43.xml"/><Relationship Id="rId27" Type="http://schemas.openxmlformats.org/officeDocument/2006/relationships/chart" Target="../charts/chart48.xml"/><Relationship Id="rId30" Type="http://schemas.openxmlformats.org/officeDocument/2006/relationships/chart" Target="../charts/chart5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53.xml"/><Relationship Id="rId1" Type="http://schemas.openxmlformats.org/officeDocument/2006/relationships/chart" Target="../charts/chart52.xml"/></Relationships>
</file>

<file path=xl/drawings/_rels/drawing6.xml.rels><?xml version="1.0" encoding="UTF-8" standalone="yes"?>
<Relationships xmlns="http://schemas.openxmlformats.org/package/2006/relationships"><Relationship Id="rId8" Type="http://schemas.openxmlformats.org/officeDocument/2006/relationships/chart" Target="../charts/chart61.xml"/><Relationship Id="rId3" Type="http://schemas.openxmlformats.org/officeDocument/2006/relationships/chart" Target="../charts/chart56.xml"/><Relationship Id="rId7" Type="http://schemas.openxmlformats.org/officeDocument/2006/relationships/chart" Target="../charts/chart60.xml"/><Relationship Id="rId12" Type="http://schemas.openxmlformats.org/officeDocument/2006/relationships/chart" Target="../charts/chart65.xml"/><Relationship Id="rId2" Type="http://schemas.openxmlformats.org/officeDocument/2006/relationships/chart" Target="../charts/chart55.xml"/><Relationship Id="rId1" Type="http://schemas.openxmlformats.org/officeDocument/2006/relationships/chart" Target="../charts/chart54.xml"/><Relationship Id="rId6" Type="http://schemas.openxmlformats.org/officeDocument/2006/relationships/chart" Target="../charts/chart59.xml"/><Relationship Id="rId11" Type="http://schemas.openxmlformats.org/officeDocument/2006/relationships/chart" Target="../charts/chart64.xml"/><Relationship Id="rId5" Type="http://schemas.openxmlformats.org/officeDocument/2006/relationships/chart" Target="../charts/chart58.xml"/><Relationship Id="rId10" Type="http://schemas.openxmlformats.org/officeDocument/2006/relationships/chart" Target="../charts/chart63.xml"/><Relationship Id="rId4" Type="http://schemas.openxmlformats.org/officeDocument/2006/relationships/chart" Target="../charts/chart57.xml"/><Relationship Id="rId9" Type="http://schemas.openxmlformats.org/officeDocument/2006/relationships/chart" Target="../charts/chart62.xml"/></Relationships>
</file>

<file path=xl/drawings/_rels/drawing7.xml.rels><?xml version="1.0" encoding="UTF-8" standalone="yes"?>
<Relationships xmlns="http://schemas.openxmlformats.org/package/2006/relationships"><Relationship Id="rId3" Type="http://schemas.openxmlformats.org/officeDocument/2006/relationships/chart" Target="../charts/chart68.xml"/><Relationship Id="rId2" Type="http://schemas.openxmlformats.org/officeDocument/2006/relationships/chart" Target="../charts/chart67.xml"/><Relationship Id="rId1" Type="http://schemas.openxmlformats.org/officeDocument/2006/relationships/chart" Target="../charts/chart66.xml"/><Relationship Id="rId5" Type="http://schemas.openxmlformats.org/officeDocument/2006/relationships/chart" Target="../charts/chart70.xml"/><Relationship Id="rId4" Type="http://schemas.openxmlformats.org/officeDocument/2006/relationships/chart" Target="../charts/chart6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oneCellAnchor>
    <xdr:from>
      <xdr:col>0</xdr:col>
      <xdr:colOff>9245600</xdr:colOff>
      <xdr:row>0</xdr:row>
      <xdr:rowOff>101600</xdr:rowOff>
    </xdr:from>
    <xdr:ext cx="1943100" cy="956842"/>
    <xdr:pic>
      <xdr:nvPicPr>
        <xdr:cNvPr id="2" name="Picture 1" descr="Meyer_Sound_w_on_b.eps">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245600" y="101600"/>
          <a:ext cx="1943100" cy="956842"/>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1</xdr:col>
      <xdr:colOff>48054</xdr:colOff>
      <xdr:row>16</xdr:row>
      <xdr:rowOff>51486</xdr:rowOff>
    </xdr:from>
    <xdr:to>
      <xdr:col>4</xdr:col>
      <xdr:colOff>549189</xdr:colOff>
      <xdr:row>28</xdr:row>
      <xdr:rowOff>188782</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17164</xdr:colOff>
      <xdr:row>15</xdr:row>
      <xdr:rowOff>44278</xdr:rowOff>
    </xdr:from>
    <xdr:to>
      <xdr:col>10</xdr:col>
      <xdr:colOff>17163</xdr:colOff>
      <xdr:row>28</xdr:row>
      <xdr:rowOff>205946</xdr:rowOff>
    </xdr:to>
    <xdr:graphicFrame macro="">
      <xdr:nvGraphicFramePr>
        <xdr:cNvPr id="3" name="Chart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82377</xdr:colOff>
      <xdr:row>15</xdr:row>
      <xdr:rowOff>0</xdr:rowOff>
    </xdr:from>
    <xdr:to>
      <xdr:col>14</xdr:col>
      <xdr:colOff>549189</xdr:colOff>
      <xdr:row>28</xdr:row>
      <xdr:rowOff>205946</xdr:rowOff>
    </xdr:to>
    <xdr:graphicFrame macro="">
      <xdr:nvGraphicFramePr>
        <xdr:cNvPr id="4" name="Chart 3">
          <a:extLst>
            <a:ext uri="{FF2B5EF4-FFF2-40B4-BE49-F238E27FC236}">
              <a16:creationId xmlns:a16="http://schemas.microsoft.com/office/drawing/2014/main" id="{00000000-0008-0000-05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50800</xdr:colOff>
      <xdr:row>22</xdr:row>
      <xdr:rowOff>25400</xdr:rowOff>
    </xdr:from>
    <xdr:to>
      <xdr:col>4</xdr:col>
      <xdr:colOff>406400</xdr:colOff>
      <xdr:row>36</xdr:row>
      <xdr:rowOff>0</xdr:rowOff>
    </xdr:to>
    <xdr:graphicFrame macro="">
      <xdr:nvGraphicFramePr>
        <xdr:cNvPr id="2" name="Chart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406400</xdr:colOff>
      <xdr:row>22</xdr:row>
      <xdr:rowOff>25400</xdr:rowOff>
    </xdr:from>
    <xdr:to>
      <xdr:col>11</xdr:col>
      <xdr:colOff>635000</xdr:colOff>
      <xdr:row>36</xdr:row>
      <xdr:rowOff>0</xdr:rowOff>
    </xdr:to>
    <xdr:graphicFrame macro="">
      <xdr:nvGraphicFramePr>
        <xdr:cNvPr id="3" name="Chart 2">
          <a:extLst>
            <a:ext uri="{FF2B5EF4-FFF2-40B4-BE49-F238E27FC236}">
              <a16:creationId xmlns:a16="http://schemas.microsoft.com/office/drawing/2014/main" id="{00000000-0008-0000-06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622300</xdr:colOff>
      <xdr:row>22</xdr:row>
      <xdr:rowOff>25400</xdr:rowOff>
    </xdr:from>
    <xdr:to>
      <xdr:col>14</xdr:col>
      <xdr:colOff>508000</xdr:colOff>
      <xdr:row>36</xdr:row>
      <xdr:rowOff>0</xdr:rowOff>
    </xdr:to>
    <xdr:graphicFrame macro="">
      <xdr:nvGraphicFramePr>
        <xdr:cNvPr id="5" name="Chart 4">
          <a:extLst>
            <a:ext uri="{FF2B5EF4-FFF2-40B4-BE49-F238E27FC236}">
              <a16:creationId xmlns:a16="http://schemas.microsoft.com/office/drawing/2014/main" id="{00000000-0008-0000-06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50800</xdr:colOff>
      <xdr:row>59</xdr:row>
      <xdr:rowOff>25400</xdr:rowOff>
    </xdr:from>
    <xdr:to>
      <xdr:col>4</xdr:col>
      <xdr:colOff>406400</xdr:colOff>
      <xdr:row>73</xdr:row>
      <xdr:rowOff>0</xdr:rowOff>
    </xdr:to>
    <xdr:graphicFrame macro="">
      <xdr:nvGraphicFramePr>
        <xdr:cNvPr id="27" name="Chart 26">
          <a:extLst>
            <a:ext uri="{FF2B5EF4-FFF2-40B4-BE49-F238E27FC236}">
              <a16:creationId xmlns:a16="http://schemas.microsoft.com/office/drawing/2014/main" id="{00000000-0008-0000-06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406400</xdr:colOff>
      <xdr:row>59</xdr:row>
      <xdr:rowOff>25400</xdr:rowOff>
    </xdr:from>
    <xdr:to>
      <xdr:col>11</xdr:col>
      <xdr:colOff>635000</xdr:colOff>
      <xdr:row>73</xdr:row>
      <xdr:rowOff>0</xdr:rowOff>
    </xdr:to>
    <xdr:graphicFrame macro="">
      <xdr:nvGraphicFramePr>
        <xdr:cNvPr id="28" name="Chart 27">
          <a:extLst>
            <a:ext uri="{FF2B5EF4-FFF2-40B4-BE49-F238E27FC236}">
              <a16:creationId xmlns:a16="http://schemas.microsoft.com/office/drawing/2014/main" id="{00000000-0008-0000-06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xdr:col>
      <xdr:colOff>622300</xdr:colOff>
      <xdr:row>59</xdr:row>
      <xdr:rowOff>25400</xdr:rowOff>
    </xdr:from>
    <xdr:to>
      <xdr:col>14</xdr:col>
      <xdr:colOff>508000</xdr:colOff>
      <xdr:row>73</xdr:row>
      <xdr:rowOff>0</xdr:rowOff>
    </xdr:to>
    <xdr:graphicFrame macro="">
      <xdr:nvGraphicFramePr>
        <xdr:cNvPr id="29" name="Chart 28">
          <a:extLst>
            <a:ext uri="{FF2B5EF4-FFF2-40B4-BE49-F238E27FC236}">
              <a16:creationId xmlns:a16="http://schemas.microsoft.com/office/drawing/2014/main" id="{00000000-0008-0000-06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50800</xdr:colOff>
      <xdr:row>96</xdr:row>
      <xdr:rowOff>25400</xdr:rowOff>
    </xdr:from>
    <xdr:to>
      <xdr:col>4</xdr:col>
      <xdr:colOff>406400</xdr:colOff>
      <xdr:row>110</xdr:row>
      <xdr:rowOff>0</xdr:rowOff>
    </xdr:to>
    <xdr:graphicFrame macro="">
      <xdr:nvGraphicFramePr>
        <xdr:cNvPr id="30" name="Chart 29">
          <a:extLst>
            <a:ext uri="{FF2B5EF4-FFF2-40B4-BE49-F238E27FC236}">
              <a16:creationId xmlns:a16="http://schemas.microsoft.com/office/drawing/2014/main" id="{00000000-0008-0000-0600-00001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4</xdr:col>
      <xdr:colOff>406400</xdr:colOff>
      <xdr:row>96</xdr:row>
      <xdr:rowOff>25400</xdr:rowOff>
    </xdr:from>
    <xdr:to>
      <xdr:col>11</xdr:col>
      <xdr:colOff>635000</xdr:colOff>
      <xdr:row>110</xdr:row>
      <xdr:rowOff>0</xdr:rowOff>
    </xdr:to>
    <xdr:graphicFrame macro="">
      <xdr:nvGraphicFramePr>
        <xdr:cNvPr id="31" name="Chart 30">
          <a:extLst>
            <a:ext uri="{FF2B5EF4-FFF2-40B4-BE49-F238E27FC236}">
              <a16:creationId xmlns:a16="http://schemas.microsoft.com/office/drawing/2014/main" id="{00000000-0008-0000-06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11</xdr:col>
      <xdr:colOff>622300</xdr:colOff>
      <xdr:row>96</xdr:row>
      <xdr:rowOff>25400</xdr:rowOff>
    </xdr:from>
    <xdr:to>
      <xdr:col>14</xdr:col>
      <xdr:colOff>508000</xdr:colOff>
      <xdr:row>110</xdr:row>
      <xdr:rowOff>0</xdr:rowOff>
    </xdr:to>
    <xdr:graphicFrame macro="">
      <xdr:nvGraphicFramePr>
        <xdr:cNvPr id="32" name="Chart 31">
          <a:extLst>
            <a:ext uri="{FF2B5EF4-FFF2-40B4-BE49-F238E27FC236}">
              <a16:creationId xmlns:a16="http://schemas.microsoft.com/office/drawing/2014/main" id="{00000000-0008-0000-0600-00002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xdr:col>
      <xdr:colOff>50800</xdr:colOff>
      <xdr:row>133</xdr:row>
      <xdr:rowOff>25400</xdr:rowOff>
    </xdr:from>
    <xdr:to>
      <xdr:col>4</xdr:col>
      <xdr:colOff>406400</xdr:colOff>
      <xdr:row>147</xdr:row>
      <xdr:rowOff>0</xdr:rowOff>
    </xdr:to>
    <xdr:graphicFrame macro="">
      <xdr:nvGraphicFramePr>
        <xdr:cNvPr id="33" name="Chart 32">
          <a:extLst>
            <a:ext uri="{FF2B5EF4-FFF2-40B4-BE49-F238E27FC236}">
              <a16:creationId xmlns:a16="http://schemas.microsoft.com/office/drawing/2014/main" id="{00000000-0008-0000-06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406400</xdr:colOff>
      <xdr:row>133</xdr:row>
      <xdr:rowOff>25400</xdr:rowOff>
    </xdr:from>
    <xdr:to>
      <xdr:col>11</xdr:col>
      <xdr:colOff>635000</xdr:colOff>
      <xdr:row>147</xdr:row>
      <xdr:rowOff>0</xdr:rowOff>
    </xdr:to>
    <xdr:graphicFrame macro="">
      <xdr:nvGraphicFramePr>
        <xdr:cNvPr id="34" name="Chart 33">
          <a:extLst>
            <a:ext uri="{FF2B5EF4-FFF2-40B4-BE49-F238E27FC236}">
              <a16:creationId xmlns:a16="http://schemas.microsoft.com/office/drawing/2014/main" id="{00000000-0008-0000-0600-00002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11</xdr:col>
      <xdr:colOff>622300</xdr:colOff>
      <xdr:row>133</xdr:row>
      <xdr:rowOff>25400</xdr:rowOff>
    </xdr:from>
    <xdr:to>
      <xdr:col>14</xdr:col>
      <xdr:colOff>508000</xdr:colOff>
      <xdr:row>147</xdr:row>
      <xdr:rowOff>0</xdr:rowOff>
    </xdr:to>
    <xdr:graphicFrame macro="">
      <xdr:nvGraphicFramePr>
        <xdr:cNvPr id="35" name="Chart 34">
          <a:extLst>
            <a:ext uri="{FF2B5EF4-FFF2-40B4-BE49-F238E27FC236}">
              <a16:creationId xmlns:a16="http://schemas.microsoft.com/office/drawing/2014/main" id="{00000000-0008-0000-06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xdr:col>
      <xdr:colOff>50800</xdr:colOff>
      <xdr:row>170</xdr:row>
      <xdr:rowOff>25400</xdr:rowOff>
    </xdr:from>
    <xdr:to>
      <xdr:col>4</xdr:col>
      <xdr:colOff>406400</xdr:colOff>
      <xdr:row>184</xdr:row>
      <xdr:rowOff>0</xdr:rowOff>
    </xdr:to>
    <xdr:graphicFrame macro="">
      <xdr:nvGraphicFramePr>
        <xdr:cNvPr id="36" name="Chart 35">
          <a:extLst>
            <a:ext uri="{FF2B5EF4-FFF2-40B4-BE49-F238E27FC236}">
              <a16:creationId xmlns:a16="http://schemas.microsoft.com/office/drawing/2014/main" id="{00000000-0008-0000-0600-00002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4</xdr:col>
      <xdr:colOff>406400</xdr:colOff>
      <xdr:row>170</xdr:row>
      <xdr:rowOff>25400</xdr:rowOff>
    </xdr:from>
    <xdr:to>
      <xdr:col>11</xdr:col>
      <xdr:colOff>635000</xdr:colOff>
      <xdr:row>184</xdr:row>
      <xdr:rowOff>0</xdr:rowOff>
    </xdr:to>
    <xdr:graphicFrame macro="">
      <xdr:nvGraphicFramePr>
        <xdr:cNvPr id="37" name="Chart 36">
          <a:extLst>
            <a:ext uri="{FF2B5EF4-FFF2-40B4-BE49-F238E27FC236}">
              <a16:creationId xmlns:a16="http://schemas.microsoft.com/office/drawing/2014/main" id="{00000000-0008-0000-0600-00002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11</xdr:col>
      <xdr:colOff>622300</xdr:colOff>
      <xdr:row>170</xdr:row>
      <xdr:rowOff>25400</xdr:rowOff>
    </xdr:from>
    <xdr:to>
      <xdr:col>14</xdr:col>
      <xdr:colOff>508000</xdr:colOff>
      <xdr:row>184</xdr:row>
      <xdr:rowOff>0</xdr:rowOff>
    </xdr:to>
    <xdr:graphicFrame macro="">
      <xdr:nvGraphicFramePr>
        <xdr:cNvPr id="38" name="Chart 37">
          <a:extLst>
            <a:ext uri="{FF2B5EF4-FFF2-40B4-BE49-F238E27FC236}">
              <a16:creationId xmlns:a16="http://schemas.microsoft.com/office/drawing/2014/main" id="{00000000-0008-0000-0600-00002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50800</xdr:colOff>
      <xdr:row>207</xdr:row>
      <xdr:rowOff>25400</xdr:rowOff>
    </xdr:from>
    <xdr:to>
      <xdr:col>4</xdr:col>
      <xdr:colOff>406400</xdr:colOff>
      <xdr:row>221</xdr:row>
      <xdr:rowOff>0</xdr:rowOff>
    </xdr:to>
    <xdr:graphicFrame macro="">
      <xdr:nvGraphicFramePr>
        <xdr:cNvPr id="39" name="Chart 38">
          <a:extLst>
            <a:ext uri="{FF2B5EF4-FFF2-40B4-BE49-F238E27FC236}">
              <a16:creationId xmlns:a16="http://schemas.microsoft.com/office/drawing/2014/main" id="{00000000-0008-0000-06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4</xdr:col>
      <xdr:colOff>406400</xdr:colOff>
      <xdr:row>207</xdr:row>
      <xdr:rowOff>25400</xdr:rowOff>
    </xdr:from>
    <xdr:to>
      <xdr:col>11</xdr:col>
      <xdr:colOff>635000</xdr:colOff>
      <xdr:row>221</xdr:row>
      <xdr:rowOff>0</xdr:rowOff>
    </xdr:to>
    <xdr:graphicFrame macro="">
      <xdr:nvGraphicFramePr>
        <xdr:cNvPr id="40" name="Chart 39">
          <a:extLst>
            <a:ext uri="{FF2B5EF4-FFF2-40B4-BE49-F238E27FC236}">
              <a16:creationId xmlns:a16="http://schemas.microsoft.com/office/drawing/2014/main" id="{00000000-0008-0000-06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11</xdr:col>
      <xdr:colOff>622300</xdr:colOff>
      <xdr:row>207</xdr:row>
      <xdr:rowOff>25400</xdr:rowOff>
    </xdr:from>
    <xdr:to>
      <xdr:col>14</xdr:col>
      <xdr:colOff>508000</xdr:colOff>
      <xdr:row>221</xdr:row>
      <xdr:rowOff>0</xdr:rowOff>
    </xdr:to>
    <xdr:graphicFrame macro="">
      <xdr:nvGraphicFramePr>
        <xdr:cNvPr id="41" name="Chart 40">
          <a:extLst>
            <a:ext uri="{FF2B5EF4-FFF2-40B4-BE49-F238E27FC236}">
              <a16:creationId xmlns:a16="http://schemas.microsoft.com/office/drawing/2014/main" id="{00000000-0008-0000-0600-00002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152400</xdr:colOff>
      <xdr:row>22</xdr:row>
      <xdr:rowOff>12307</xdr:rowOff>
    </xdr:from>
    <xdr:to>
      <xdr:col>3</xdr:col>
      <xdr:colOff>215900</xdr:colOff>
      <xdr:row>35</xdr:row>
      <xdr:rowOff>183299</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520700</xdr:colOff>
      <xdr:row>21</xdr:row>
      <xdr:rowOff>196000</xdr:rowOff>
    </xdr:from>
    <xdr:to>
      <xdr:col>18</xdr:col>
      <xdr:colOff>406400</xdr:colOff>
      <xdr:row>35</xdr:row>
      <xdr:rowOff>151615</xdr:rowOff>
    </xdr:to>
    <xdr:graphicFrame macro="">
      <xdr:nvGraphicFramePr>
        <xdr:cNvPr id="4" name="Chart 3">
          <a:extLst>
            <a:ext uri="{FF2B5EF4-FFF2-40B4-BE49-F238E27FC236}">
              <a16:creationId xmlns:a16="http://schemas.microsoft.com/office/drawing/2014/main" id="{00000000-0008-0000-07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228600</xdr:colOff>
      <xdr:row>22</xdr:row>
      <xdr:rowOff>5565</xdr:rowOff>
    </xdr:from>
    <xdr:to>
      <xdr:col>7</xdr:col>
      <xdr:colOff>190500</xdr:colOff>
      <xdr:row>35</xdr:row>
      <xdr:rowOff>170207</xdr:rowOff>
    </xdr:to>
    <xdr:graphicFrame macro="">
      <xdr:nvGraphicFramePr>
        <xdr:cNvPr id="5" name="Chart 1">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96886</xdr:colOff>
      <xdr:row>21</xdr:row>
      <xdr:rowOff>209484</xdr:rowOff>
    </xdr:from>
    <xdr:to>
      <xdr:col>12</xdr:col>
      <xdr:colOff>65464</xdr:colOff>
      <xdr:row>36</xdr:row>
      <xdr:rowOff>144020</xdr:rowOff>
    </xdr:to>
    <xdr:graphicFrame macro="">
      <xdr:nvGraphicFramePr>
        <xdr:cNvPr id="7" name="Chart 6">
          <a:extLst>
            <a:ext uri="{FF2B5EF4-FFF2-40B4-BE49-F238E27FC236}">
              <a16:creationId xmlns:a16="http://schemas.microsoft.com/office/drawing/2014/main" id="{00000000-0008-0000-07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222577</xdr:colOff>
      <xdr:row>21</xdr:row>
      <xdr:rowOff>196393</xdr:rowOff>
    </xdr:from>
    <xdr:to>
      <xdr:col>16</xdr:col>
      <xdr:colOff>164969</xdr:colOff>
      <xdr:row>36</xdr:row>
      <xdr:rowOff>130928</xdr:rowOff>
    </xdr:to>
    <xdr:graphicFrame macro="">
      <xdr:nvGraphicFramePr>
        <xdr:cNvPr id="8" name="Chart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152400</xdr:colOff>
      <xdr:row>60</xdr:row>
      <xdr:rowOff>12307</xdr:rowOff>
    </xdr:from>
    <xdr:to>
      <xdr:col>3</xdr:col>
      <xdr:colOff>215900</xdr:colOff>
      <xdr:row>73</xdr:row>
      <xdr:rowOff>183299</xdr:rowOff>
    </xdr:to>
    <xdr:graphicFrame macro="">
      <xdr:nvGraphicFramePr>
        <xdr:cNvPr id="19" name="Chart 18">
          <a:extLst>
            <a:ext uri="{FF2B5EF4-FFF2-40B4-BE49-F238E27FC236}">
              <a16:creationId xmlns:a16="http://schemas.microsoft.com/office/drawing/2014/main" id="{00000000-0008-0000-07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15</xdr:col>
      <xdr:colOff>520700</xdr:colOff>
      <xdr:row>59</xdr:row>
      <xdr:rowOff>196000</xdr:rowOff>
    </xdr:from>
    <xdr:to>
      <xdr:col>18</xdr:col>
      <xdr:colOff>406400</xdr:colOff>
      <xdr:row>73</xdr:row>
      <xdr:rowOff>151615</xdr:rowOff>
    </xdr:to>
    <xdr:graphicFrame macro="">
      <xdr:nvGraphicFramePr>
        <xdr:cNvPr id="20" name="Chart 19">
          <a:extLst>
            <a:ext uri="{FF2B5EF4-FFF2-40B4-BE49-F238E27FC236}">
              <a16:creationId xmlns:a16="http://schemas.microsoft.com/office/drawing/2014/main" id="{00000000-0008-0000-07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228600</xdr:colOff>
      <xdr:row>60</xdr:row>
      <xdr:rowOff>5565</xdr:rowOff>
    </xdr:from>
    <xdr:to>
      <xdr:col>7</xdr:col>
      <xdr:colOff>190500</xdr:colOff>
      <xdr:row>73</xdr:row>
      <xdr:rowOff>170207</xdr:rowOff>
    </xdr:to>
    <xdr:graphicFrame macro="">
      <xdr:nvGraphicFramePr>
        <xdr:cNvPr id="21" name="Chart 1">
          <a:extLst>
            <a:ext uri="{FF2B5EF4-FFF2-40B4-BE49-F238E27FC236}">
              <a16:creationId xmlns:a16="http://schemas.microsoft.com/office/drawing/2014/main" id="{00000000-0008-0000-0700-00001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96886</xdr:colOff>
      <xdr:row>59</xdr:row>
      <xdr:rowOff>209484</xdr:rowOff>
    </xdr:from>
    <xdr:to>
      <xdr:col>12</xdr:col>
      <xdr:colOff>65464</xdr:colOff>
      <xdr:row>74</xdr:row>
      <xdr:rowOff>144020</xdr:rowOff>
    </xdr:to>
    <xdr:graphicFrame macro="">
      <xdr:nvGraphicFramePr>
        <xdr:cNvPr id="22" name="Chart 21">
          <a:extLst>
            <a:ext uri="{FF2B5EF4-FFF2-40B4-BE49-F238E27FC236}">
              <a16:creationId xmlns:a16="http://schemas.microsoft.com/office/drawing/2014/main" id="{00000000-0008-0000-07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11</xdr:col>
      <xdr:colOff>222577</xdr:colOff>
      <xdr:row>59</xdr:row>
      <xdr:rowOff>196393</xdr:rowOff>
    </xdr:from>
    <xdr:to>
      <xdr:col>16</xdr:col>
      <xdr:colOff>164969</xdr:colOff>
      <xdr:row>74</xdr:row>
      <xdr:rowOff>130928</xdr:rowOff>
    </xdr:to>
    <xdr:graphicFrame macro="">
      <xdr:nvGraphicFramePr>
        <xdr:cNvPr id="23" name="Chart 22">
          <a:extLst>
            <a:ext uri="{FF2B5EF4-FFF2-40B4-BE49-F238E27FC236}">
              <a16:creationId xmlns:a16="http://schemas.microsoft.com/office/drawing/2014/main" id="{00000000-0008-0000-07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152400</xdr:colOff>
      <xdr:row>98</xdr:row>
      <xdr:rowOff>12307</xdr:rowOff>
    </xdr:from>
    <xdr:to>
      <xdr:col>3</xdr:col>
      <xdr:colOff>215900</xdr:colOff>
      <xdr:row>111</xdr:row>
      <xdr:rowOff>183299</xdr:rowOff>
    </xdr:to>
    <xdr:graphicFrame macro="">
      <xdr:nvGraphicFramePr>
        <xdr:cNvPr id="12" name="Chart 11">
          <a:extLst>
            <a:ext uri="{FF2B5EF4-FFF2-40B4-BE49-F238E27FC236}">
              <a16:creationId xmlns:a16="http://schemas.microsoft.com/office/drawing/2014/main" id="{00000000-0008-0000-07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15</xdr:col>
      <xdr:colOff>520700</xdr:colOff>
      <xdr:row>97</xdr:row>
      <xdr:rowOff>196000</xdr:rowOff>
    </xdr:from>
    <xdr:to>
      <xdr:col>18</xdr:col>
      <xdr:colOff>406400</xdr:colOff>
      <xdr:row>111</xdr:row>
      <xdr:rowOff>151615</xdr:rowOff>
    </xdr:to>
    <xdr:graphicFrame macro="">
      <xdr:nvGraphicFramePr>
        <xdr:cNvPr id="13" name="Chart 12">
          <a:extLst>
            <a:ext uri="{FF2B5EF4-FFF2-40B4-BE49-F238E27FC236}">
              <a16:creationId xmlns:a16="http://schemas.microsoft.com/office/drawing/2014/main" id="{00000000-0008-0000-07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xdr:col>
      <xdr:colOff>228600</xdr:colOff>
      <xdr:row>98</xdr:row>
      <xdr:rowOff>5565</xdr:rowOff>
    </xdr:from>
    <xdr:to>
      <xdr:col>7</xdr:col>
      <xdr:colOff>190500</xdr:colOff>
      <xdr:row>111</xdr:row>
      <xdr:rowOff>170207</xdr:rowOff>
    </xdr:to>
    <xdr:graphicFrame macro="">
      <xdr:nvGraphicFramePr>
        <xdr:cNvPr id="14" name="Chart 1">
          <a:extLst>
            <a:ext uri="{FF2B5EF4-FFF2-40B4-BE49-F238E27FC236}">
              <a16:creationId xmlns:a16="http://schemas.microsoft.com/office/drawing/2014/main" id="{00000000-0008-0000-07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96886</xdr:colOff>
      <xdr:row>97</xdr:row>
      <xdr:rowOff>209484</xdr:rowOff>
    </xdr:from>
    <xdr:to>
      <xdr:col>12</xdr:col>
      <xdr:colOff>65464</xdr:colOff>
      <xdr:row>112</xdr:row>
      <xdr:rowOff>144020</xdr:rowOff>
    </xdr:to>
    <xdr:graphicFrame macro="">
      <xdr:nvGraphicFramePr>
        <xdr:cNvPr id="15" name="Chart 14">
          <a:extLst>
            <a:ext uri="{FF2B5EF4-FFF2-40B4-BE49-F238E27FC236}">
              <a16:creationId xmlns:a16="http://schemas.microsoft.com/office/drawing/2014/main" id="{00000000-0008-0000-07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11</xdr:col>
      <xdr:colOff>222577</xdr:colOff>
      <xdr:row>97</xdr:row>
      <xdr:rowOff>196393</xdr:rowOff>
    </xdr:from>
    <xdr:to>
      <xdr:col>16</xdr:col>
      <xdr:colOff>164969</xdr:colOff>
      <xdr:row>112</xdr:row>
      <xdr:rowOff>130928</xdr:rowOff>
    </xdr:to>
    <xdr:graphicFrame macro="">
      <xdr:nvGraphicFramePr>
        <xdr:cNvPr id="16" name="Chart 15">
          <a:extLst>
            <a:ext uri="{FF2B5EF4-FFF2-40B4-BE49-F238E27FC236}">
              <a16:creationId xmlns:a16="http://schemas.microsoft.com/office/drawing/2014/main" id="{00000000-0008-0000-07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0</xdr:col>
      <xdr:colOff>152400</xdr:colOff>
      <xdr:row>136</xdr:row>
      <xdr:rowOff>12307</xdr:rowOff>
    </xdr:from>
    <xdr:to>
      <xdr:col>3</xdr:col>
      <xdr:colOff>215900</xdr:colOff>
      <xdr:row>149</xdr:row>
      <xdr:rowOff>183299</xdr:rowOff>
    </xdr:to>
    <xdr:graphicFrame macro="">
      <xdr:nvGraphicFramePr>
        <xdr:cNvPr id="17" name="Chart 16">
          <a:extLst>
            <a:ext uri="{FF2B5EF4-FFF2-40B4-BE49-F238E27FC236}">
              <a16:creationId xmlns:a16="http://schemas.microsoft.com/office/drawing/2014/main" id="{00000000-0008-0000-07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15</xdr:col>
      <xdr:colOff>520700</xdr:colOff>
      <xdr:row>135</xdr:row>
      <xdr:rowOff>196000</xdr:rowOff>
    </xdr:from>
    <xdr:to>
      <xdr:col>18</xdr:col>
      <xdr:colOff>406400</xdr:colOff>
      <xdr:row>149</xdr:row>
      <xdr:rowOff>151615</xdr:rowOff>
    </xdr:to>
    <xdr:graphicFrame macro="">
      <xdr:nvGraphicFramePr>
        <xdr:cNvPr id="18" name="Chart 17">
          <a:extLst>
            <a:ext uri="{FF2B5EF4-FFF2-40B4-BE49-F238E27FC236}">
              <a16:creationId xmlns:a16="http://schemas.microsoft.com/office/drawing/2014/main" id="{00000000-0008-0000-07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3</xdr:col>
      <xdr:colOff>228600</xdr:colOff>
      <xdr:row>136</xdr:row>
      <xdr:rowOff>5565</xdr:rowOff>
    </xdr:from>
    <xdr:to>
      <xdr:col>7</xdr:col>
      <xdr:colOff>190500</xdr:colOff>
      <xdr:row>149</xdr:row>
      <xdr:rowOff>170207</xdr:rowOff>
    </xdr:to>
    <xdr:graphicFrame macro="">
      <xdr:nvGraphicFramePr>
        <xdr:cNvPr id="24" name="Chart 1">
          <a:extLst>
            <a:ext uri="{FF2B5EF4-FFF2-40B4-BE49-F238E27FC236}">
              <a16:creationId xmlns:a16="http://schemas.microsoft.com/office/drawing/2014/main" id="{00000000-0008-0000-07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7</xdr:col>
      <xdr:colOff>96886</xdr:colOff>
      <xdr:row>135</xdr:row>
      <xdr:rowOff>209484</xdr:rowOff>
    </xdr:from>
    <xdr:to>
      <xdr:col>12</xdr:col>
      <xdr:colOff>65464</xdr:colOff>
      <xdr:row>150</xdr:row>
      <xdr:rowOff>144020</xdr:rowOff>
    </xdr:to>
    <xdr:graphicFrame macro="">
      <xdr:nvGraphicFramePr>
        <xdr:cNvPr id="25" name="Chart 24">
          <a:extLst>
            <a:ext uri="{FF2B5EF4-FFF2-40B4-BE49-F238E27FC236}">
              <a16:creationId xmlns:a16="http://schemas.microsoft.com/office/drawing/2014/main" id="{00000000-0008-0000-07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11</xdr:col>
      <xdr:colOff>222577</xdr:colOff>
      <xdr:row>135</xdr:row>
      <xdr:rowOff>196393</xdr:rowOff>
    </xdr:from>
    <xdr:to>
      <xdr:col>16</xdr:col>
      <xdr:colOff>164969</xdr:colOff>
      <xdr:row>150</xdr:row>
      <xdr:rowOff>130928</xdr:rowOff>
    </xdr:to>
    <xdr:graphicFrame macro="">
      <xdr:nvGraphicFramePr>
        <xdr:cNvPr id="26" name="Chart 25">
          <a:extLst>
            <a:ext uri="{FF2B5EF4-FFF2-40B4-BE49-F238E27FC236}">
              <a16:creationId xmlns:a16="http://schemas.microsoft.com/office/drawing/2014/main" id="{00000000-0008-0000-0700-00001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0</xdr:col>
      <xdr:colOff>152400</xdr:colOff>
      <xdr:row>174</xdr:row>
      <xdr:rowOff>12307</xdr:rowOff>
    </xdr:from>
    <xdr:to>
      <xdr:col>3</xdr:col>
      <xdr:colOff>215900</xdr:colOff>
      <xdr:row>187</xdr:row>
      <xdr:rowOff>183299</xdr:rowOff>
    </xdr:to>
    <xdr:graphicFrame macro="">
      <xdr:nvGraphicFramePr>
        <xdr:cNvPr id="27" name="Chart 26">
          <a:extLst>
            <a:ext uri="{FF2B5EF4-FFF2-40B4-BE49-F238E27FC236}">
              <a16:creationId xmlns:a16="http://schemas.microsoft.com/office/drawing/2014/main" id="{00000000-0008-0000-07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15</xdr:col>
      <xdr:colOff>520700</xdr:colOff>
      <xdr:row>173</xdr:row>
      <xdr:rowOff>196000</xdr:rowOff>
    </xdr:from>
    <xdr:to>
      <xdr:col>18</xdr:col>
      <xdr:colOff>406400</xdr:colOff>
      <xdr:row>187</xdr:row>
      <xdr:rowOff>151615</xdr:rowOff>
    </xdr:to>
    <xdr:graphicFrame macro="">
      <xdr:nvGraphicFramePr>
        <xdr:cNvPr id="28" name="Chart 27">
          <a:extLst>
            <a:ext uri="{FF2B5EF4-FFF2-40B4-BE49-F238E27FC236}">
              <a16:creationId xmlns:a16="http://schemas.microsoft.com/office/drawing/2014/main" id="{00000000-0008-0000-07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3</xdr:col>
      <xdr:colOff>228600</xdr:colOff>
      <xdr:row>174</xdr:row>
      <xdr:rowOff>5565</xdr:rowOff>
    </xdr:from>
    <xdr:to>
      <xdr:col>7</xdr:col>
      <xdr:colOff>190500</xdr:colOff>
      <xdr:row>187</xdr:row>
      <xdr:rowOff>170207</xdr:rowOff>
    </xdr:to>
    <xdr:graphicFrame macro="">
      <xdr:nvGraphicFramePr>
        <xdr:cNvPr id="29" name="Chart 1">
          <a:extLst>
            <a:ext uri="{FF2B5EF4-FFF2-40B4-BE49-F238E27FC236}">
              <a16:creationId xmlns:a16="http://schemas.microsoft.com/office/drawing/2014/main" id="{00000000-0008-0000-07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7</xdr:col>
      <xdr:colOff>96886</xdr:colOff>
      <xdr:row>173</xdr:row>
      <xdr:rowOff>209484</xdr:rowOff>
    </xdr:from>
    <xdr:to>
      <xdr:col>12</xdr:col>
      <xdr:colOff>65464</xdr:colOff>
      <xdr:row>188</xdr:row>
      <xdr:rowOff>144020</xdr:rowOff>
    </xdr:to>
    <xdr:graphicFrame macro="">
      <xdr:nvGraphicFramePr>
        <xdr:cNvPr id="30" name="Chart 29">
          <a:extLst>
            <a:ext uri="{FF2B5EF4-FFF2-40B4-BE49-F238E27FC236}">
              <a16:creationId xmlns:a16="http://schemas.microsoft.com/office/drawing/2014/main" id="{00000000-0008-0000-0700-00001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11</xdr:col>
      <xdr:colOff>222577</xdr:colOff>
      <xdr:row>173</xdr:row>
      <xdr:rowOff>196393</xdr:rowOff>
    </xdr:from>
    <xdr:to>
      <xdr:col>16</xdr:col>
      <xdr:colOff>164969</xdr:colOff>
      <xdr:row>188</xdr:row>
      <xdr:rowOff>130928</xdr:rowOff>
    </xdr:to>
    <xdr:graphicFrame macro="">
      <xdr:nvGraphicFramePr>
        <xdr:cNvPr id="31" name="Chart 30">
          <a:extLst>
            <a:ext uri="{FF2B5EF4-FFF2-40B4-BE49-F238E27FC236}">
              <a16:creationId xmlns:a16="http://schemas.microsoft.com/office/drawing/2014/main" id="{00000000-0008-0000-07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0</xdr:col>
      <xdr:colOff>152400</xdr:colOff>
      <xdr:row>212</xdr:row>
      <xdr:rowOff>12307</xdr:rowOff>
    </xdr:from>
    <xdr:to>
      <xdr:col>3</xdr:col>
      <xdr:colOff>215900</xdr:colOff>
      <xdr:row>225</xdr:row>
      <xdr:rowOff>183299</xdr:rowOff>
    </xdr:to>
    <xdr:graphicFrame macro="">
      <xdr:nvGraphicFramePr>
        <xdr:cNvPr id="32" name="Chart 31">
          <a:extLst>
            <a:ext uri="{FF2B5EF4-FFF2-40B4-BE49-F238E27FC236}">
              <a16:creationId xmlns:a16="http://schemas.microsoft.com/office/drawing/2014/main" id="{00000000-0008-0000-0700-00002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15</xdr:col>
      <xdr:colOff>520700</xdr:colOff>
      <xdr:row>211</xdr:row>
      <xdr:rowOff>196000</xdr:rowOff>
    </xdr:from>
    <xdr:to>
      <xdr:col>18</xdr:col>
      <xdr:colOff>406400</xdr:colOff>
      <xdr:row>225</xdr:row>
      <xdr:rowOff>151615</xdr:rowOff>
    </xdr:to>
    <xdr:graphicFrame macro="">
      <xdr:nvGraphicFramePr>
        <xdr:cNvPr id="33" name="Chart 32">
          <a:extLst>
            <a:ext uri="{FF2B5EF4-FFF2-40B4-BE49-F238E27FC236}">
              <a16:creationId xmlns:a16="http://schemas.microsoft.com/office/drawing/2014/main" id="{00000000-0008-0000-07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3</xdr:col>
      <xdr:colOff>228600</xdr:colOff>
      <xdr:row>212</xdr:row>
      <xdr:rowOff>5565</xdr:rowOff>
    </xdr:from>
    <xdr:to>
      <xdr:col>7</xdr:col>
      <xdr:colOff>190500</xdr:colOff>
      <xdr:row>225</xdr:row>
      <xdr:rowOff>170207</xdr:rowOff>
    </xdr:to>
    <xdr:graphicFrame macro="">
      <xdr:nvGraphicFramePr>
        <xdr:cNvPr id="34" name="Chart 1">
          <a:extLst>
            <a:ext uri="{FF2B5EF4-FFF2-40B4-BE49-F238E27FC236}">
              <a16:creationId xmlns:a16="http://schemas.microsoft.com/office/drawing/2014/main" id="{00000000-0008-0000-0700-00002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7</xdr:col>
      <xdr:colOff>96886</xdr:colOff>
      <xdr:row>211</xdr:row>
      <xdr:rowOff>209484</xdr:rowOff>
    </xdr:from>
    <xdr:to>
      <xdr:col>12</xdr:col>
      <xdr:colOff>65464</xdr:colOff>
      <xdr:row>226</xdr:row>
      <xdr:rowOff>144020</xdr:rowOff>
    </xdr:to>
    <xdr:graphicFrame macro="">
      <xdr:nvGraphicFramePr>
        <xdr:cNvPr id="35" name="Chart 34">
          <a:extLst>
            <a:ext uri="{FF2B5EF4-FFF2-40B4-BE49-F238E27FC236}">
              <a16:creationId xmlns:a16="http://schemas.microsoft.com/office/drawing/2014/main" id="{00000000-0008-0000-07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11</xdr:col>
      <xdr:colOff>222577</xdr:colOff>
      <xdr:row>211</xdr:row>
      <xdr:rowOff>196393</xdr:rowOff>
    </xdr:from>
    <xdr:to>
      <xdr:col>16</xdr:col>
      <xdr:colOff>164969</xdr:colOff>
      <xdr:row>226</xdr:row>
      <xdr:rowOff>130928</xdr:rowOff>
    </xdr:to>
    <xdr:graphicFrame macro="">
      <xdr:nvGraphicFramePr>
        <xdr:cNvPr id="36" name="Chart 35">
          <a:extLst>
            <a:ext uri="{FF2B5EF4-FFF2-40B4-BE49-F238E27FC236}">
              <a16:creationId xmlns:a16="http://schemas.microsoft.com/office/drawing/2014/main" id="{00000000-0008-0000-0700-00002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148167</xdr:colOff>
      <xdr:row>15</xdr:row>
      <xdr:rowOff>120952</xdr:rowOff>
    </xdr:from>
    <xdr:to>
      <xdr:col>5</xdr:col>
      <xdr:colOff>30238</xdr:colOff>
      <xdr:row>28</xdr:row>
      <xdr:rowOff>226785</xdr:rowOff>
    </xdr:to>
    <xdr:graphicFrame macro="">
      <xdr:nvGraphicFramePr>
        <xdr:cNvPr id="3" name="Chart 2">
          <a:extLst>
            <a:ext uri="{FF2B5EF4-FFF2-40B4-BE49-F238E27FC236}">
              <a16:creationId xmlns:a16="http://schemas.microsoft.com/office/drawing/2014/main" id="{00000000-0008-0000-08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42333</xdr:colOff>
      <xdr:row>15</xdr:row>
      <xdr:rowOff>120952</xdr:rowOff>
    </xdr:from>
    <xdr:to>
      <xdr:col>14</xdr:col>
      <xdr:colOff>529167</xdr:colOff>
      <xdr:row>28</xdr:row>
      <xdr:rowOff>199873</xdr:rowOff>
    </xdr:to>
    <xdr:graphicFrame macro="">
      <xdr:nvGraphicFramePr>
        <xdr:cNvPr id="4" name="Chart 3">
          <a:extLst>
            <a:ext uri="{FF2B5EF4-FFF2-40B4-BE49-F238E27FC236}">
              <a16:creationId xmlns:a16="http://schemas.microsoft.com/office/drawing/2014/main" id="{00000000-0008-0000-08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1</xdr:colOff>
      <xdr:row>25</xdr:row>
      <xdr:rowOff>25400</xdr:rowOff>
    </xdr:from>
    <xdr:to>
      <xdr:col>10</xdr:col>
      <xdr:colOff>414867</xdr:colOff>
      <xdr:row>39</xdr:row>
      <xdr:rowOff>0</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304800</xdr:colOff>
      <xdr:row>25</xdr:row>
      <xdr:rowOff>25400</xdr:rowOff>
    </xdr:from>
    <xdr:to>
      <xdr:col>14</xdr:col>
      <xdr:colOff>508000</xdr:colOff>
      <xdr:row>39</xdr:row>
      <xdr:rowOff>0</xdr:rowOff>
    </xdr:to>
    <xdr:graphicFrame macro="">
      <xdr:nvGraphicFramePr>
        <xdr:cNvPr id="4" name="Chart 3">
          <a:extLst>
            <a:ext uri="{FF2B5EF4-FFF2-40B4-BE49-F238E27FC236}">
              <a16:creationId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xdr:colOff>
      <xdr:row>65</xdr:row>
      <xdr:rowOff>25400</xdr:rowOff>
    </xdr:from>
    <xdr:to>
      <xdr:col>10</xdr:col>
      <xdr:colOff>414867</xdr:colOff>
      <xdr:row>79</xdr:row>
      <xdr:rowOff>0</xdr:rowOff>
    </xdr:to>
    <xdr:graphicFrame macro="">
      <xdr:nvGraphicFramePr>
        <xdr:cNvPr id="15" name="Chart 14">
          <a:extLst>
            <a:ext uri="{FF2B5EF4-FFF2-40B4-BE49-F238E27FC236}">
              <a16:creationId xmlns:a16="http://schemas.microsoft.com/office/drawing/2014/main" id="{00000000-0008-0000-09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304800</xdr:colOff>
      <xdr:row>65</xdr:row>
      <xdr:rowOff>25400</xdr:rowOff>
    </xdr:from>
    <xdr:to>
      <xdr:col>14</xdr:col>
      <xdr:colOff>508000</xdr:colOff>
      <xdr:row>79</xdr:row>
      <xdr:rowOff>0</xdr:rowOff>
    </xdr:to>
    <xdr:graphicFrame macro="">
      <xdr:nvGraphicFramePr>
        <xdr:cNvPr id="16" name="Chart 15">
          <a:extLst>
            <a:ext uri="{FF2B5EF4-FFF2-40B4-BE49-F238E27FC236}">
              <a16:creationId xmlns:a16="http://schemas.microsoft.com/office/drawing/2014/main" id="{00000000-0008-0000-09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1</xdr:colOff>
      <xdr:row>105</xdr:row>
      <xdr:rowOff>25400</xdr:rowOff>
    </xdr:from>
    <xdr:to>
      <xdr:col>10</xdr:col>
      <xdr:colOff>414867</xdr:colOff>
      <xdr:row>119</xdr:row>
      <xdr:rowOff>0</xdr:rowOff>
    </xdr:to>
    <xdr:graphicFrame macro="">
      <xdr:nvGraphicFramePr>
        <xdr:cNvPr id="6" name="Chart 5">
          <a:extLst>
            <a:ext uri="{FF2B5EF4-FFF2-40B4-BE49-F238E27FC236}">
              <a16:creationId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10</xdr:col>
      <xdr:colOff>304800</xdr:colOff>
      <xdr:row>105</xdr:row>
      <xdr:rowOff>25400</xdr:rowOff>
    </xdr:from>
    <xdr:to>
      <xdr:col>14</xdr:col>
      <xdr:colOff>508000</xdr:colOff>
      <xdr:row>119</xdr:row>
      <xdr:rowOff>0</xdr:rowOff>
    </xdr:to>
    <xdr:graphicFrame macro="">
      <xdr:nvGraphicFramePr>
        <xdr:cNvPr id="7" name="Chart 6">
          <a:extLst>
            <a:ext uri="{FF2B5EF4-FFF2-40B4-BE49-F238E27FC236}">
              <a16:creationId xmlns:a16="http://schemas.microsoft.com/office/drawing/2014/main" id="{00000000-0008-0000-09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xdr:colOff>
      <xdr:row>145</xdr:row>
      <xdr:rowOff>25400</xdr:rowOff>
    </xdr:from>
    <xdr:to>
      <xdr:col>10</xdr:col>
      <xdr:colOff>414867</xdr:colOff>
      <xdr:row>159</xdr:row>
      <xdr:rowOff>0</xdr:rowOff>
    </xdr:to>
    <xdr:graphicFrame macro="">
      <xdr:nvGraphicFramePr>
        <xdr:cNvPr id="8" name="Chart 7">
          <a:extLst>
            <a:ext uri="{FF2B5EF4-FFF2-40B4-BE49-F238E27FC236}">
              <a16:creationId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10</xdr:col>
      <xdr:colOff>304800</xdr:colOff>
      <xdr:row>145</xdr:row>
      <xdr:rowOff>25400</xdr:rowOff>
    </xdr:from>
    <xdr:to>
      <xdr:col>14</xdr:col>
      <xdr:colOff>508000</xdr:colOff>
      <xdr:row>159</xdr:row>
      <xdr:rowOff>0</xdr:rowOff>
    </xdr:to>
    <xdr:graphicFrame macro="">
      <xdr:nvGraphicFramePr>
        <xdr:cNvPr id="9" name="Chart 8">
          <a:extLst>
            <a:ext uri="{FF2B5EF4-FFF2-40B4-BE49-F238E27FC236}">
              <a16:creationId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xdr:colOff>
      <xdr:row>185</xdr:row>
      <xdr:rowOff>25400</xdr:rowOff>
    </xdr:from>
    <xdr:to>
      <xdr:col>10</xdr:col>
      <xdr:colOff>414867</xdr:colOff>
      <xdr:row>199</xdr:row>
      <xdr:rowOff>0</xdr:rowOff>
    </xdr:to>
    <xdr:graphicFrame macro="">
      <xdr:nvGraphicFramePr>
        <xdr:cNvPr id="10" name="Chart 9">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10</xdr:col>
      <xdr:colOff>304800</xdr:colOff>
      <xdr:row>185</xdr:row>
      <xdr:rowOff>25400</xdr:rowOff>
    </xdr:from>
    <xdr:to>
      <xdr:col>14</xdr:col>
      <xdr:colOff>508000</xdr:colOff>
      <xdr:row>199</xdr:row>
      <xdr:rowOff>0</xdr:rowOff>
    </xdr:to>
    <xdr:graphicFrame macro="">
      <xdr:nvGraphicFramePr>
        <xdr:cNvPr id="11" name="Chart 10">
          <a:extLst>
            <a:ext uri="{FF2B5EF4-FFF2-40B4-BE49-F238E27FC236}">
              <a16:creationId xmlns:a16="http://schemas.microsoft.com/office/drawing/2014/main" id="{00000000-0008-0000-09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xdr:col>
      <xdr:colOff>1</xdr:colOff>
      <xdr:row>225</xdr:row>
      <xdr:rowOff>25400</xdr:rowOff>
    </xdr:from>
    <xdr:to>
      <xdr:col>10</xdr:col>
      <xdr:colOff>414867</xdr:colOff>
      <xdr:row>239</xdr:row>
      <xdr:rowOff>0</xdr:rowOff>
    </xdr:to>
    <xdr:graphicFrame macro="">
      <xdr:nvGraphicFramePr>
        <xdr:cNvPr id="12" name="Chart 11">
          <a:extLst>
            <a:ext uri="{FF2B5EF4-FFF2-40B4-BE49-F238E27FC236}">
              <a16:creationId xmlns:a16="http://schemas.microsoft.com/office/drawing/2014/main" id="{00000000-0008-0000-09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10</xdr:col>
      <xdr:colOff>304800</xdr:colOff>
      <xdr:row>225</xdr:row>
      <xdr:rowOff>25400</xdr:rowOff>
    </xdr:from>
    <xdr:to>
      <xdr:col>14</xdr:col>
      <xdr:colOff>508000</xdr:colOff>
      <xdr:row>239</xdr:row>
      <xdr:rowOff>0</xdr:rowOff>
    </xdr:to>
    <xdr:graphicFrame macro="">
      <xdr:nvGraphicFramePr>
        <xdr:cNvPr id="13" name="Chart 12">
          <a:extLst>
            <a:ext uri="{FF2B5EF4-FFF2-40B4-BE49-F238E27FC236}">
              <a16:creationId xmlns:a16="http://schemas.microsoft.com/office/drawing/2014/main" id="{00000000-0008-0000-09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152400</xdr:colOff>
      <xdr:row>22</xdr:row>
      <xdr:rowOff>12307</xdr:rowOff>
    </xdr:from>
    <xdr:to>
      <xdr:col>3</xdr:col>
      <xdr:colOff>215900</xdr:colOff>
      <xdr:row>35</xdr:row>
      <xdr:rowOff>183299</xdr:rowOff>
    </xdr:to>
    <xdr:graphicFrame macro="">
      <xdr:nvGraphicFramePr>
        <xdr:cNvPr id="2" name="Chart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520700</xdr:colOff>
      <xdr:row>21</xdr:row>
      <xdr:rowOff>196000</xdr:rowOff>
    </xdr:from>
    <xdr:to>
      <xdr:col>18</xdr:col>
      <xdr:colOff>406400</xdr:colOff>
      <xdr:row>35</xdr:row>
      <xdr:rowOff>151615</xdr:rowOff>
    </xdr:to>
    <xdr:graphicFrame macro="">
      <xdr:nvGraphicFramePr>
        <xdr:cNvPr id="3" name="Chart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228600</xdr:colOff>
      <xdr:row>22</xdr:row>
      <xdr:rowOff>5565</xdr:rowOff>
    </xdr:from>
    <xdr:to>
      <xdr:col>7</xdr:col>
      <xdr:colOff>190500</xdr:colOff>
      <xdr:row>35</xdr:row>
      <xdr:rowOff>170207</xdr:rowOff>
    </xdr:to>
    <xdr:graphicFrame macro="">
      <xdr:nvGraphicFramePr>
        <xdr:cNvPr id="4" name="Chart 1">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96886</xdr:colOff>
      <xdr:row>21</xdr:row>
      <xdr:rowOff>209484</xdr:rowOff>
    </xdr:from>
    <xdr:to>
      <xdr:col>12</xdr:col>
      <xdr:colOff>65464</xdr:colOff>
      <xdr:row>36</xdr:row>
      <xdr:rowOff>144020</xdr:rowOff>
    </xdr:to>
    <xdr:graphicFrame macro="">
      <xdr:nvGraphicFramePr>
        <xdr:cNvPr id="5" name="Chart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222577</xdr:colOff>
      <xdr:row>21</xdr:row>
      <xdr:rowOff>196393</xdr:rowOff>
    </xdr:from>
    <xdr:to>
      <xdr:col>16</xdr:col>
      <xdr:colOff>164969</xdr:colOff>
      <xdr:row>36</xdr:row>
      <xdr:rowOff>130928</xdr:rowOff>
    </xdr:to>
    <xdr:graphicFrame macro="">
      <xdr:nvGraphicFramePr>
        <xdr:cNvPr id="6" name="Chart 5">
          <a:extLst>
            <a:ext uri="{FF2B5EF4-FFF2-40B4-BE49-F238E27FC236}">
              <a16:creationId xmlns:a16="http://schemas.microsoft.com/office/drawing/2014/main"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drawing" Target="../drawings/drawing7.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tint="0.39997558519241921"/>
  </sheetPr>
  <dimension ref="A1:AIW75"/>
  <sheetViews>
    <sheetView showGridLines="0" tabSelected="1" workbookViewId="0">
      <selection activeCell="A2" sqref="A2"/>
    </sheetView>
  </sheetViews>
  <sheetFormatPr baseColWidth="10" defaultColWidth="0" defaultRowHeight="16" zeroHeight="1" x14ac:dyDescent="0.2"/>
  <cols>
    <col min="1" max="1" width="128.5" style="121" customWidth="1"/>
    <col min="2" max="2" width="2.6640625" style="1" customWidth="1"/>
    <col min="3" max="470" width="2.6640625" hidden="1" customWidth="1"/>
    <col min="471" max="933" width="0" hidden="1" customWidth="1"/>
    <col min="934" max="16384" width="10.83203125" hidden="1"/>
  </cols>
  <sheetData>
    <row r="1" spans="1:2" ht="17" x14ac:dyDescent="0.2">
      <c r="A1" s="208" t="str">
        <f>Data!$M$1</f>
        <v>06.257.005.01 C</v>
      </c>
      <c r="B1" s="71"/>
    </row>
    <row r="2" spans="1:2" ht="76" x14ac:dyDescent="0.45">
      <c r="A2" s="124" t="s">
        <v>0</v>
      </c>
    </row>
    <row r="3" spans="1:2" x14ac:dyDescent="0.2">
      <c r="A3" s="209"/>
    </row>
    <row r="4" spans="1:2" ht="27" x14ac:dyDescent="0.2">
      <c r="A4" s="211" t="s">
        <v>1</v>
      </c>
    </row>
    <row r="5" spans="1:2" x14ac:dyDescent="0.2">
      <c r="A5" s="212"/>
    </row>
    <row r="6" spans="1:2" ht="51" x14ac:dyDescent="0.2">
      <c r="A6" s="213" t="s">
        <v>2</v>
      </c>
    </row>
    <row r="7" spans="1:2" x14ac:dyDescent="0.2">
      <c r="A7" s="213"/>
    </row>
    <row r="8" spans="1:2" ht="34" x14ac:dyDescent="0.2">
      <c r="A8" s="213" t="s">
        <v>3</v>
      </c>
    </row>
    <row r="9" spans="1:2" x14ac:dyDescent="0.2">
      <c r="A9" s="213"/>
    </row>
    <row r="10" spans="1:2" ht="85" x14ac:dyDescent="0.2">
      <c r="A10" s="213" t="s">
        <v>4</v>
      </c>
    </row>
    <row r="11" spans="1:2" x14ac:dyDescent="0.2">
      <c r="A11" s="213"/>
    </row>
    <row r="12" spans="1:2" ht="34" x14ac:dyDescent="0.2">
      <c r="A12" s="214" t="s">
        <v>5</v>
      </c>
    </row>
    <row r="13" spans="1:2" x14ac:dyDescent="0.2">
      <c r="A13" s="341"/>
    </row>
    <row r="14" spans="1:2" ht="27" x14ac:dyDescent="0.2">
      <c r="A14" s="211" t="s">
        <v>6</v>
      </c>
    </row>
    <row r="15" spans="1:2" ht="187" x14ac:dyDescent="0.2">
      <c r="A15" s="214" t="s">
        <v>7</v>
      </c>
    </row>
    <row r="16" spans="1:2" x14ac:dyDescent="0.2">
      <c r="A16" s="210"/>
    </row>
    <row r="17" spans="1:1" ht="27" x14ac:dyDescent="0.2">
      <c r="A17" s="211" t="s">
        <v>8</v>
      </c>
    </row>
    <row r="18" spans="1:1" x14ac:dyDescent="0.2">
      <c r="A18" s="215"/>
    </row>
    <row r="19" spans="1:1" ht="17" x14ac:dyDescent="0.2">
      <c r="A19" s="216" t="s">
        <v>9</v>
      </c>
    </row>
    <row r="20" spans="1:1" x14ac:dyDescent="0.2">
      <c r="A20" s="215"/>
    </row>
    <row r="21" spans="1:1" ht="17" x14ac:dyDescent="0.2">
      <c r="A21" s="216" t="s">
        <v>10</v>
      </c>
    </row>
    <row r="22" spans="1:1" x14ac:dyDescent="0.2">
      <c r="A22" s="215"/>
    </row>
    <row r="23" spans="1:1" ht="17" x14ac:dyDescent="0.2">
      <c r="A23" s="216" t="s">
        <v>11</v>
      </c>
    </row>
    <row r="24" spans="1:1" ht="68" x14ac:dyDescent="0.2">
      <c r="A24" s="215" t="s">
        <v>12</v>
      </c>
    </row>
    <row r="25" spans="1:1" x14ac:dyDescent="0.2">
      <c r="A25" s="215"/>
    </row>
    <row r="26" spans="1:1" ht="17" x14ac:dyDescent="0.2">
      <c r="A26" s="216" t="s">
        <v>13</v>
      </c>
    </row>
    <row r="27" spans="1:1" ht="51" x14ac:dyDescent="0.2">
      <c r="A27" s="215" t="s">
        <v>14</v>
      </c>
    </row>
    <row r="28" spans="1:1" x14ac:dyDescent="0.2">
      <c r="A28" s="215"/>
    </row>
    <row r="29" spans="1:1" ht="17" x14ac:dyDescent="0.2">
      <c r="A29" s="216" t="s">
        <v>15</v>
      </c>
    </row>
    <row r="30" spans="1:1" ht="51" x14ac:dyDescent="0.2">
      <c r="A30" s="215" t="s">
        <v>16</v>
      </c>
    </row>
    <row r="31" spans="1:1" x14ac:dyDescent="0.2">
      <c r="A31" s="215"/>
    </row>
    <row r="32" spans="1:1" ht="17" x14ac:dyDescent="0.2">
      <c r="A32" s="216" t="s">
        <v>17</v>
      </c>
    </row>
    <row r="33" spans="1:1" ht="68" x14ac:dyDescent="0.2">
      <c r="A33" s="215" t="s">
        <v>18</v>
      </c>
    </row>
    <row r="34" spans="1:1" x14ac:dyDescent="0.2">
      <c r="A34" s="215"/>
    </row>
    <row r="35" spans="1:1" ht="51" x14ac:dyDescent="0.2">
      <c r="A35" s="215" t="s">
        <v>19</v>
      </c>
    </row>
    <row r="36" spans="1:1" x14ac:dyDescent="0.2">
      <c r="A36" s="215"/>
    </row>
    <row r="37" spans="1:1" ht="17" x14ac:dyDescent="0.2">
      <c r="A37" s="216" t="s">
        <v>20</v>
      </c>
    </row>
    <row r="38" spans="1:1" ht="51" x14ac:dyDescent="0.2">
      <c r="A38" s="215" t="s">
        <v>21</v>
      </c>
    </row>
    <row r="39" spans="1:1" x14ac:dyDescent="0.2">
      <c r="A39" s="215"/>
    </row>
    <row r="40" spans="1:1" ht="68" x14ac:dyDescent="0.2">
      <c r="A40" s="215" t="s">
        <v>22</v>
      </c>
    </row>
    <row r="41" spans="1:1" x14ac:dyDescent="0.2">
      <c r="A41" s="215"/>
    </row>
    <row r="42" spans="1:1" ht="17" x14ac:dyDescent="0.2">
      <c r="A42" s="216" t="s">
        <v>23</v>
      </c>
    </row>
    <row r="43" spans="1:1" ht="119" x14ac:dyDescent="0.2">
      <c r="A43" s="215" t="s">
        <v>24</v>
      </c>
    </row>
    <row r="44" spans="1:1" x14ac:dyDescent="0.2">
      <c r="A44" s="215"/>
    </row>
    <row r="45" spans="1:1" ht="17" x14ac:dyDescent="0.2">
      <c r="A45" s="216" t="s">
        <v>25</v>
      </c>
    </row>
    <row r="46" spans="1:1" ht="34" x14ac:dyDescent="0.2">
      <c r="A46" s="215" t="s">
        <v>26</v>
      </c>
    </row>
    <row r="47" spans="1:1" x14ac:dyDescent="0.2">
      <c r="A47" s="215"/>
    </row>
    <row r="48" spans="1:1" ht="17" x14ac:dyDescent="0.2">
      <c r="A48" s="216" t="s">
        <v>27</v>
      </c>
    </row>
    <row r="49" spans="1:1" ht="51" x14ac:dyDescent="0.2">
      <c r="A49" s="215" t="s">
        <v>28</v>
      </c>
    </row>
    <row r="50" spans="1:1" x14ac:dyDescent="0.2">
      <c r="A50" s="215"/>
    </row>
    <row r="51" spans="1:1" ht="17" x14ac:dyDescent="0.2">
      <c r="A51" s="216" t="s">
        <v>29</v>
      </c>
    </row>
    <row r="52" spans="1:1" ht="51" x14ac:dyDescent="0.2">
      <c r="A52" s="215" t="s">
        <v>30</v>
      </c>
    </row>
    <row r="53" spans="1:1" x14ac:dyDescent="0.2">
      <c r="A53" s="215"/>
    </row>
    <row r="54" spans="1:1" ht="17" x14ac:dyDescent="0.2">
      <c r="A54" s="216" t="s">
        <v>31</v>
      </c>
    </row>
    <row r="55" spans="1:1" ht="68" x14ac:dyDescent="0.2">
      <c r="A55" s="215" t="s">
        <v>32</v>
      </c>
    </row>
    <row r="56" spans="1:1" x14ac:dyDescent="0.2">
      <c r="A56" s="215"/>
    </row>
    <row r="57" spans="1:1" ht="17" x14ac:dyDescent="0.2">
      <c r="A57" s="216" t="s">
        <v>33</v>
      </c>
    </row>
    <row r="58" spans="1:1" ht="85" x14ac:dyDescent="0.2">
      <c r="A58" s="215" t="s">
        <v>34</v>
      </c>
    </row>
    <row r="59" spans="1:1" x14ac:dyDescent="0.2">
      <c r="A59" s="215"/>
    </row>
    <row r="60" spans="1:1" ht="17" x14ac:dyDescent="0.2">
      <c r="A60" s="216" t="s">
        <v>35</v>
      </c>
    </row>
    <row r="61" spans="1:1" ht="68" x14ac:dyDescent="0.2">
      <c r="A61" s="215" t="s">
        <v>36</v>
      </c>
    </row>
    <row r="62" spans="1:1" x14ac:dyDescent="0.2">
      <c r="A62" s="215"/>
    </row>
    <row r="63" spans="1:1" ht="17" x14ac:dyDescent="0.2">
      <c r="A63" s="216" t="s">
        <v>37</v>
      </c>
    </row>
    <row r="64" spans="1:1" ht="85" x14ac:dyDescent="0.2">
      <c r="A64" s="215" t="s">
        <v>38</v>
      </c>
    </row>
    <row r="65" spans="1:1" x14ac:dyDescent="0.2">
      <c r="A65" s="215"/>
    </row>
    <row r="66" spans="1:1" ht="17" x14ac:dyDescent="0.2">
      <c r="A66" s="213" t="str">
        <f>Data!G1</f>
        <v>© 2021</v>
      </c>
    </row>
    <row r="67" spans="1:1" ht="17" x14ac:dyDescent="0.2">
      <c r="A67" s="215" t="s">
        <v>39</v>
      </c>
    </row>
    <row r="68" spans="1:1" ht="17" x14ac:dyDescent="0.2">
      <c r="A68" s="215" t="s">
        <v>40</v>
      </c>
    </row>
    <row r="69" spans="1:1" ht="17" x14ac:dyDescent="0.2">
      <c r="A69" s="215" t="s">
        <v>41</v>
      </c>
    </row>
    <row r="70" spans="1:1" x14ac:dyDescent="0.2">
      <c r="A70" s="215"/>
    </row>
    <row r="71" spans="1:1" ht="17" x14ac:dyDescent="0.2">
      <c r="A71" s="217" t="s">
        <v>42</v>
      </c>
    </row>
    <row r="72" spans="1:1" ht="17" x14ac:dyDescent="0.2">
      <c r="A72" s="215" t="s">
        <v>43</v>
      </c>
    </row>
    <row r="73" spans="1:1" x14ac:dyDescent="0.2">
      <c r="A73" s="215"/>
    </row>
    <row r="74" spans="1:1" x14ac:dyDescent="0.2">
      <c r="A74" s="218"/>
    </row>
    <row r="75" spans="1:1" hidden="1" x14ac:dyDescent="0.2">
      <c r="A75" s="209"/>
    </row>
  </sheetData>
  <sheetProtection algorithmName="SHA-512" hashValue="NDWPpuXnsxaXlEzlSIvXu08d9VQ9ALxB9yp0P9Fz5iJOtHru+SF/bloTYFL6b0PGoeVv/JZz3xklle7RJtQwIg==" saltValue="MR3RE7aR8IP0OXqguSv+oA==" spinCount="100000" sheet="1" objects="1" scenarios="1"/>
  <phoneticPr fontId="5" type="noConversion"/>
  <pageMargins left="0.7" right="0.7" top="0.75" bottom="0.75" header="0.3" footer="0.3"/>
  <pageSetup paperSize="9" scale="46" orientation="portrait" horizontalDpi="0" verticalDpi="0"/>
  <rowBreaks count="3" manualBreakCount="3">
    <brk id="15" max="16383" man="1"/>
    <brk id="73" max="16383" man="1"/>
    <brk id="74" max="16383" man="1"/>
  </rowBreaks>
  <colBreaks count="1" manualBreakCount="1">
    <brk id="16383"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tabColor theme="1"/>
  </sheetPr>
  <dimension ref="A1:AM240"/>
  <sheetViews>
    <sheetView showGridLines="0" zoomScalePageLayoutView="110" workbookViewId="0">
      <selection activeCell="D11" sqref="D11"/>
    </sheetView>
  </sheetViews>
  <sheetFormatPr baseColWidth="10" defaultColWidth="0" defaultRowHeight="16" zeroHeight="1" x14ac:dyDescent="0.2"/>
  <cols>
    <col min="1" max="1" width="2.83203125" customWidth="1"/>
    <col min="2" max="2" width="15" customWidth="1"/>
    <col min="3" max="3" width="3" customWidth="1"/>
    <col min="4" max="4" width="9.33203125" customWidth="1"/>
    <col min="5" max="5" width="7.33203125" customWidth="1"/>
    <col min="6" max="6" width="9.33203125" customWidth="1"/>
    <col min="7" max="7" width="7.33203125" customWidth="1"/>
    <col min="8" max="8" width="9.33203125" customWidth="1"/>
    <col min="9" max="9" width="7.33203125" customWidth="1"/>
    <col min="10" max="10" width="9.33203125" customWidth="1"/>
    <col min="11" max="11" width="7.33203125" customWidth="1"/>
    <col min="12" max="12" width="9.33203125" customWidth="1"/>
    <col min="13" max="13" width="7.33203125" customWidth="1"/>
    <col min="14" max="14" width="9.33203125" customWidth="1"/>
    <col min="15" max="15" width="7.33203125" customWidth="1"/>
    <col min="16" max="16" width="2.83203125" customWidth="1"/>
    <col min="17" max="30" width="10.83203125" hidden="1" customWidth="1"/>
    <col min="31" max="34" width="10.83203125" style="87" hidden="1" customWidth="1"/>
    <col min="35" max="39" width="0" hidden="1" customWidth="1"/>
    <col min="40" max="16384" width="10.83203125" hidden="1"/>
  </cols>
  <sheetData>
    <row r="1" spans="1:39" x14ac:dyDescent="0.2">
      <c r="A1" s="1"/>
      <c r="B1" s="1"/>
      <c r="C1" s="1"/>
      <c r="D1" s="1"/>
      <c r="E1" s="1"/>
      <c r="F1" s="1"/>
      <c r="G1" s="1"/>
      <c r="H1" s="1"/>
      <c r="I1" s="1"/>
      <c r="J1" s="1"/>
      <c r="K1" s="1"/>
      <c r="L1" s="1"/>
      <c r="M1" s="1"/>
      <c r="N1" s="1"/>
      <c r="O1" s="162" t="str">
        <f>Data!$M$1</f>
        <v>06.257.005.01 C</v>
      </c>
      <c r="P1" s="1"/>
      <c r="W1" t="s">
        <v>272</v>
      </c>
      <c r="Z1" s="90"/>
      <c r="AA1" t="s">
        <v>272</v>
      </c>
      <c r="AG1" s="109"/>
      <c r="AH1" s="112" t="s">
        <v>273</v>
      </c>
      <c r="AI1" s="112" t="s">
        <v>274</v>
      </c>
      <c r="AJ1" s="112" t="s">
        <v>275</v>
      </c>
      <c r="AK1" s="112" t="s">
        <v>276</v>
      </c>
      <c r="AL1" s="112" t="s">
        <v>277</v>
      </c>
      <c r="AM1" s="112" t="s">
        <v>278</v>
      </c>
    </row>
    <row r="2" spans="1:39" x14ac:dyDescent="0.2">
      <c r="A2" s="1"/>
      <c r="B2" s="10" t="s">
        <v>192</v>
      </c>
      <c r="C2" s="1"/>
      <c r="D2" s="73" t="s">
        <v>279</v>
      </c>
      <c r="E2" s="73" t="s">
        <v>280</v>
      </c>
      <c r="F2" s="73" t="s">
        <v>281</v>
      </c>
      <c r="G2" s="74" t="s">
        <v>282</v>
      </c>
      <c r="H2" s="74" t="s">
        <v>283</v>
      </c>
      <c r="I2" s="74" t="s">
        <v>284</v>
      </c>
      <c r="J2" s="1"/>
      <c r="K2" s="627" t="s">
        <v>160</v>
      </c>
      <c r="L2" s="628"/>
      <c r="M2" s="104" t="s">
        <v>158</v>
      </c>
      <c r="N2" s="70"/>
      <c r="O2" s="72">
        <v>12</v>
      </c>
      <c r="P2" s="1"/>
      <c r="V2" s="623" t="s">
        <v>104</v>
      </c>
      <c r="W2" s="93">
        <f>D3*COS(RADIANS(0))</f>
        <v>120</v>
      </c>
      <c r="X2" s="93">
        <f>E3*COS(RADIANS(-120))</f>
        <v>-59.999999999999972</v>
      </c>
      <c r="Y2" s="93">
        <f>F3*COS(RADIANS(120))</f>
        <v>-59.999999999999972</v>
      </c>
      <c r="Z2" s="95" t="s">
        <v>285</v>
      </c>
      <c r="AA2" s="93">
        <f>G3*COS(RADIANS(0))</f>
        <v>120</v>
      </c>
      <c r="AB2" s="93">
        <f>H3*COS(RADIANS(-120))</f>
        <v>-59.999999999999972</v>
      </c>
      <c r="AC2" s="93">
        <f>I3*COS(RADIANS(120))</f>
        <v>-59.999999999999972</v>
      </c>
      <c r="AG2" t="s">
        <v>195</v>
      </c>
      <c r="AH2">
        <f t="shared" ref="AH2:AM2" si="0">SUM(AH5:AH222)</f>
        <v>0</v>
      </c>
      <c r="AI2">
        <f t="shared" si="0"/>
        <v>0</v>
      </c>
      <c r="AJ2">
        <f t="shared" si="0"/>
        <v>0</v>
      </c>
      <c r="AK2">
        <f t="shared" si="0"/>
        <v>0</v>
      </c>
      <c r="AL2">
        <f t="shared" si="0"/>
        <v>0</v>
      </c>
      <c r="AM2">
        <f t="shared" si="0"/>
        <v>0</v>
      </c>
    </row>
    <row r="3" spans="1:39" x14ac:dyDescent="0.2">
      <c r="A3" s="1"/>
      <c r="B3" s="69"/>
      <c r="C3" s="1"/>
      <c r="D3" s="139">
        <f>'Master US'!$D$4</f>
        <v>120</v>
      </c>
      <c r="E3" s="139">
        <f>'Master US'!$G$4</f>
        <v>120</v>
      </c>
      <c r="F3" s="139">
        <f>'Master US'!$J$4</f>
        <v>120</v>
      </c>
      <c r="G3" s="139">
        <f>'Master US'!$D$4</f>
        <v>120</v>
      </c>
      <c r="H3" s="139">
        <f>'Master US'!$G$4</f>
        <v>120</v>
      </c>
      <c r="I3" s="139">
        <f>'Master US'!$J$4</f>
        <v>120</v>
      </c>
      <c r="J3" s="97"/>
      <c r="K3" s="103" t="s">
        <v>286</v>
      </c>
      <c r="L3" s="103" t="s">
        <v>287</v>
      </c>
      <c r="M3" s="71"/>
      <c r="N3" s="134"/>
      <c r="O3" s="1"/>
      <c r="P3" s="1"/>
      <c r="V3" s="623"/>
      <c r="W3" s="93">
        <f>D3*SIN(RADIANS(0))</f>
        <v>0</v>
      </c>
      <c r="X3" s="93">
        <f>E3*SIN(RADIANS(-120))</f>
        <v>-103.92304845413264</v>
      </c>
      <c r="Y3" s="93">
        <f>F3*SIN(RADIANS(120))</f>
        <v>103.92304845413264</v>
      </c>
      <c r="Z3" s="95" t="s">
        <v>288</v>
      </c>
      <c r="AA3" s="93">
        <f>G3*SIN(RADIANS(0))</f>
        <v>0</v>
      </c>
      <c r="AB3" s="93">
        <f>H3*SIN(RADIANS(-120))</f>
        <v>-103.92304845413264</v>
      </c>
      <c r="AC3" s="93">
        <f>I3*SIN(RADIANS(120))</f>
        <v>103.92304845413264</v>
      </c>
    </row>
    <row r="4" spans="1:39" ht="5" customHeight="1" x14ac:dyDescent="0.25">
      <c r="A4" s="1"/>
      <c r="B4" s="2"/>
      <c r="C4" s="1"/>
      <c r="D4" s="5"/>
      <c r="E4" s="40"/>
      <c r="F4" s="5">
        <v>100</v>
      </c>
      <c r="G4" s="40"/>
      <c r="H4" s="5"/>
      <c r="I4" s="8"/>
      <c r="J4" s="98"/>
      <c r="K4" s="98"/>
      <c r="L4" s="1"/>
      <c r="M4" s="1"/>
      <c r="N4" s="1"/>
      <c r="O4" s="1"/>
      <c r="P4" s="1"/>
      <c r="V4" s="623"/>
      <c r="W4" s="93"/>
      <c r="X4" s="93"/>
      <c r="Y4" s="93"/>
      <c r="Z4" s="95"/>
      <c r="AA4" s="93"/>
      <c r="AB4" s="93"/>
      <c r="AC4" s="93"/>
    </row>
    <row r="5" spans="1:39" ht="15" customHeight="1" x14ac:dyDescent="0.25">
      <c r="A5" s="1"/>
      <c r="B5" s="23" t="s">
        <v>289</v>
      </c>
      <c r="C5" s="1"/>
      <c r="D5" s="75">
        <f>IMABS(W11)</f>
        <v>22.233333333333398</v>
      </c>
      <c r="E5" s="75">
        <f>IMABS(X11)</f>
        <v>22.233333333333331</v>
      </c>
      <c r="F5" s="75">
        <f>IMABS(Y11)</f>
        <v>22.233333333333331</v>
      </c>
      <c r="G5" s="75">
        <f>IMABS(AA11)</f>
        <v>20.7</v>
      </c>
      <c r="H5" s="75">
        <f>IMABS(AB11)</f>
        <v>20.700000000000017</v>
      </c>
      <c r="I5" s="75">
        <f>IMABS(AC11)</f>
        <v>20.700000000000017</v>
      </c>
      <c r="J5" s="102" t="s">
        <v>116</v>
      </c>
      <c r="K5" s="98"/>
      <c r="L5" s="1"/>
      <c r="M5" s="629" t="str">
        <f>IF('US MDM-5000'!U14=0,"O K pass UL",IF(AND('US MDM-5000'!S14=0,'US MDM-5000'!T14&gt;0),"OK Not UL",IF(AND('US MDM-5000'!S14&gt;0,'US MDM-5000'!T14&gt;0),"N O !","N O !")))</f>
        <v>O K pass UL</v>
      </c>
      <c r="N5" s="630"/>
      <c r="O5" s="635">
        <v>1</v>
      </c>
      <c r="P5" s="71"/>
      <c r="V5" s="623"/>
      <c r="W5" s="92" t="str">
        <f>COMPLEX(W2,W3)</f>
        <v>120</v>
      </c>
      <c r="X5" s="92" t="str">
        <f>COMPLEX(X2,X3)</f>
        <v>-60-103.923048454133i</v>
      </c>
      <c r="Y5" s="92" t="str">
        <f>COMPLEX(Y2,Y3)</f>
        <v>-60+103.923048454133i</v>
      </c>
      <c r="Z5" s="95" t="s">
        <v>290</v>
      </c>
      <c r="AA5" s="92" t="str">
        <f>COMPLEX(AA2,AA3)</f>
        <v>120</v>
      </c>
      <c r="AB5" s="92" t="str">
        <f>COMPLEX(AB2,AB3)</f>
        <v>-60-103.923048454133i</v>
      </c>
      <c r="AC5" s="92" t="str">
        <f>COMPLEX(AC2,AC3)</f>
        <v>-60+103.923048454133i</v>
      </c>
    </row>
    <row r="6" spans="1:39" ht="15" customHeight="1" x14ac:dyDescent="0.2">
      <c r="A6" s="1"/>
      <c r="B6" s="23" t="s">
        <v>291</v>
      </c>
      <c r="C6" s="1"/>
      <c r="D6" s="146">
        <f>D3*W6</f>
        <v>3910.0000000000082</v>
      </c>
      <c r="E6" s="146">
        <f>E3*X6</f>
        <v>3909.9999999999959</v>
      </c>
      <c r="F6" s="146">
        <f>F3*Y6</f>
        <v>3909.9999999999959</v>
      </c>
      <c r="G6" s="146">
        <f>G3*AA6</f>
        <v>4048.0000000000077</v>
      </c>
      <c r="H6" s="146">
        <f>H3*AB6</f>
        <v>4048.0000000000055</v>
      </c>
      <c r="I6" s="146">
        <f>I3*AC6</f>
        <v>4048.0000000000055</v>
      </c>
      <c r="J6" s="100" t="s">
        <v>265</v>
      </c>
      <c r="K6" s="106">
        <f>(SQRT(POWER(E3,2)+POWER(F3,2)+POWER(D3,2)))*(SQRT(POWER(E5,2)+POWER(F5,2)+POWER(D5,2)))</f>
        <v>8004.0000000000082</v>
      </c>
      <c r="L6" s="107">
        <f>(SQRT(POWER(H3,2)+POWER(I3,2)+POWER(G3,2)))*(SQRT(POWER(H5,2)+POWER(I5,2)+POWER(G5,2)))</f>
        <v>7452.0000000000036</v>
      </c>
      <c r="M6" s="631"/>
      <c r="N6" s="632"/>
      <c r="O6" s="635"/>
      <c r="P6" s="71"/>
      <c r="V6" s="623" t="s">
        <v>292</v>
      </c>
      <c r="W6">
        <f>IMABS(W9)</f>
        <v>32.5833333333334</v>
      </c>
      <c r="X6">
        <f>IMABS(X9)</f>
        <v>32.5833333333333</v>
      </c>
      <c r="Y6">
        <f>IMABS(Y9)</f>
        <v>32.5833333333333</v>
      </c>
      <c r="Z6" s="95" t="s">
        <v>293</v>
      </c>
      <c r="AA6">
        <f>IMABS(AA9)</f>
        <v>33.733333333333398</v>
      </c>
      <c r="AB6">
        <f>IMABS(AB9)</f>
        <v>33.733333333333377</v>
      </c>
      <c r="AC6">
        <f>IMABS(AC9)</f>
        <v>33.733333333333377</v>
      </c>
    </row>
    <row r="7" spans="1:39" ht="15" customHeight="1" x14ac:dyDescent="0.2">
      <c r="A7" s="1"/>
      <c r="B7" s="24" t="s">
        <v>266</v>
      </c>
      <c r="C7" s="1"/>
      <c r="D7" s="146">
        <f>IFERROR(D3*D5*COS(RADIANS(0-W7)),0)</f>
        <v>2668.0000000000077</v>
      </c>
      <c r="E7" s="146">
        <f>IFERROR(E3*E5*COS(RADIANS(-120-X7)),0)</f>
        <v>2667.9999999999995</v>
      </c>
      <c r="F7" s="146">
        <f>IFERROR(F3*F5*COS(RADIANS(120-Y7)),0)</f>
        <v>2667.9999999999995</v>
      </c>
      <c r="G7" s="146">
        <f>IFERROR(G3*G5*COS(RADIANS(0-AA7)),0)</f>
        <v>2484</v>
      </c>
      <c r="H7" s="146">
        <f>IFERROR(H3*H5*COS(RADIANS(-120-AB7)),0)</f>
        <v>2484.0000000000018</v>
      </c>
      <c r="I7" s="146">
        <f>IFERROR(I3*I5*COS(RADIANS(120-AC7)),0)</f>
        <v>2484.0000000000018</v>
      </c>
      <c r="J7" s="101" t="s">
        <v>267</v>
      </c>
      <c r="K7" s="105">
        <f>SUM(D7:F7)</f>
        <v>8004.0000000000073</v>
      </c>
      <c r="L7" s="108">
        <f>SUM(G7:I7)</f>
        <v>7452.0000000000036</v>
      </c>
      <c r="M7" s="633"/>
      <c r="N7" s="634"/>
      <c r="O7" s="635"/>
      <c r="P7" s="71"/>
      <c r="R7" t="s">
        <v>294</v>
      </c>
      <c r="S7" s="88" t="s">
        <v>295</v>
      </c>
      <c r="T7" t="s">
        <v>257</v>
      </c>
      <c r="V7" s="623"/>
      <c r="W7">
        <f>DEGREES(IMARGUMENT(W9))</f>
        <v>0</v>
      </c>
      <c r="X7">
        <f>DEGREES(IMARGUMENT(X9))</f>
        <v>-120.0000000000001</v>
      </c>
      <c r="Y7">
        <f>DEGREES(IMARGUMENT(Y9))</f>
        <v>120.0000000000001</v>
      </c>
      <c r="Z7" s="90" t="s">
        <v>296</v>
      </c>
      <c r="AA7">
        <f>DEGREES(IMARGUMENT(AA9))</f>
        <v>0</v>
      </c>
      <c r="AB7">
        <f>DEGREES(IMARGUMENT(AB9))</f>
        <v>-120.00000000000001</v>
      </c>
      <c r="AC7">
        <f>DEGREES(IMARGUMENT(AC9))</f>
        <v>120.00000000000001</v>
      </c>
    </row>
    <row r="8" spans="1:39" ht="8" customHeight="1" thickBot="1" x14ac:dyDescent="0.25">
      <c r="A8" s="1"/>
      <c r="B8" s="1"/>
      <c r="C8" s="1"/>
      <c r="D8" s="1"/>
      <c r="E8" s="1"/>
      <c r="F8" s="1"/>
      <c r="G8" s="1"/>
      <c r="H8" s="1"/>
      <c r="I8" s="1"/>
      <c r="J8" s="1"/>
      <c r="K8" s="1"/>
      <c r="L8" s="1"/>
      <c r="M8" s="1"/>
      <c r="N8" s="1"/>
      <c r="O8" s="1"/>
      <c r="P8" s="1"/>
      <c r="R8" t="s">
        <v>162</v>
      </c>
      <c r="S8">
        <f>IF(OR('US MDM-5000'!E5&gt;Data!$AF$6,'US MDM-5000'!G5&gt;Data!$AF$6,'US MDM-5000'!I5&gt;Data!$AF$6,'US MDM-5000'!D5&gt;Data!$AF$6,'US MDM-5000'!F5&gt;Data!$AF$6,'US MDM-5000'!H5&gt;Data!$AF$6),1,0)</f>
        <v>0</v>
      </c>
      <c r="T8">
        <f>IF(OR('US MDM-5000'!E5&gt;Data!$AG$6,'US MDM-5000'!G5&gt;Data!$AG$6,'US MDM-5000'!I5&gt;Data!$AG$6,'US MDM-5000'!D5&gt;Data!$AG$6,'US MDM-5000'!F5&gt;Data!$AG$6,'US MDM-5000'!H5&gt;Data!$AG$6),1,0)</f>
        <v>0</v>
      </c>
      <c r="V8" s="623"/>
      <c r="Z8" s="94"/>
    </row>
    <row r="9" spans="1:39" x14ac:dyDescent="0.2">
      <c r="A9" s="1"/>
      <c r="B9" s="10" t="s">
        <v>203</v>
      </c>
      <c r="C9" s="1"/>
      <c r="D9" s="560" t="s">
        <v>297</v>
      </c>
      <c r="E9" s="561"/>
      <c r="F9" s="553" t="s">
        <v>298</v>
      </c>
      <c r="G9" s="561"/>
      <c r="H9" s="553" t="s">
        <v>299</v>
      </c>
      <c r="I9" s="561"/>
      <c r="J9" s="553" t="s">
        <v>300</v>
      </c>
      <c r="K9" s="561"/>
      <c r="L9" s="553" t="s">
        <v>301</v>
      </c>
      <c r="M9" s="561"/>
      <c r="N9" s="553" t="s">
        <v>302</v>
      </c>
      <c r="O9" s="554"/>
      <c r="P9" s="1"/>
      <c r="R9" t="s">
        <v>201</v>
      </c>
      <c r="S9">
        <f>IF(OR('US MDM-5000'!D17&gt;Data!$AF$7,'US MDM-5000'!F17&gt;Data!$AF$7,'US MDM-5000'!H17&gt;Data!$AF$7,'US MDM-5000'!J17&gt;Data!$AF$7,'US MDM-5000'!L17&gt;Data!$AF$7,'US MDM-5000'!N17&gt;Data!$AF$7),1,0)</f>
        <v>0</v>
      </c>
      <c r="T9">
        <f>IF(OR('US MDM-5000'!D17&gt;Data!$AG$7,'US MDM-5000'!F17&gt;Data!$AG$7,'US MDM-5000'!H17&gt;Data!$AG$7,'US MDM-5000'!J17&gt;Data!$AG$7,'US MDM-5000'!L17&gt;Data!$AG$7,'US MDM-5000'!N17&gt;Data!$AG$7),1,0)</f>
        <v>0</v>
      </c>
      <c r="V9" s="623"/>
      <c r="W9" t="str">
        <f>IMSUM(Y13,W12)</f>
        <v>32.5833333333334</v>
      </c>
      <c r="X9" t="str">
        <f>IMSUM(X12,W13)</f>
        <v>-16.2916666666667-28.2179944066429i</v>
      </c>
      <c r="Y9" t="str">
        <f>IMSUM(X13,Y12)</f>
        <v>-16.2916666666667+28.2179944066429i</v>
      </c>
      <c r="Z9" s="94"/>
      <c r="AA9" t="str">
        <f>IMSUM(AA12,AC13)</f>
        <v>33.7333333333334</v>
      </c>
      <c r="AB9" t="str">
        <f>IMSUM(AB12,AA13)</f>
        <v>-16.8666666666667-29.2139236209951i</v>
      </c>
      <c r="AC9" t="str">
        <f>IMSUM(AC12,AB13)</f>
        <v>-16.8666666666667+29.2139236209951i</v>
      </c>
    </row>
    <row r="10" spans="1:39" x14ac:dyDescent="0.2">
      <c r="A10" s="1"/>
      <c r="B10" s="99" t="s">
        <v>303</v>
      </c>
      <c r="C10" s="1"/>
      <c r="D10" s="626" t="s">
        <v>304</v>
      </c>
      <c r="E10" s="624"/>
      <c r="F10" s="624" t="s">
        <v>304</v>
      </c>
      <c r="G10" s="624"/>
      <c r="H10" s="624" t="s">
        <v>304</v>
      </c>
      <c r="I10" s="624"/>
      <c r="J10" s="624" t="s">
        <v>304</v>
      </c>
      <c r="K10" s="624"/>
      <c r="L10" s="624" t="s">
        <v>304</v>
      </c>
      <c r="M10" s="624"/>
      <c r="N10" s="624" t="s">
        <v>304</v>
      </c>
      <c r="O10" s="624"/>
      <c r="P10" s="1"/>
      <c r="V10" s="94"/>
      <c r="Z10" s="90"/>
    </row>
    <row r="11" spans="1:39" x14ac:dyDescent="0.2">
      <c r="A11" s="1"/>
      <c r="B11" s="23" t="s">
        <v>205</v>
      </c>
      <c r="C11" s="1"/>
      <c r="D11" s="32" t="s">
        <v>206</v>
      </c>
      <c r="E11" s="33">
        <v>10</v>
      </c>
      <c r="F11" s="34" t="s">
        <v>206</v>
      </c>
      <c r="G11" s="33">
        <v>10</v>
      </c>
      <c r="H11" s="34" t="s">
        <v>206</v>
      </c>
      <c r="I11" s="33">
        <v>10</v>
      </c>
      <c r="J11" s="34" t="s">
        <v>207</v>
      </c>
      <c r="K11" s="33">
        <v>4</v>
      </c>
      <c r="L11" s="34" t="s">
        <v>207</v>
      </c>
      <c r="M11" s="33">
        <v>4</v>
      </c>
      <c r="N11" s="34" t="s">
        <v>207</v>
      </c>
      <c r="O11" s="35">
        <v>4</v>
      </c>
      <c r="P11" s="1"/>
      <c r="R11" t="s">
        <v>202</v>
      </c>
      <c r="S11">
        <f>IF(OR('US MDM-5000'!D19&gt;Data!$AF$8,'US MDM-5000'!F19&gt;Data!$AF$8,'US MDM-5000'!H19&gt;Data!$AF$8,'US MDM-5000'!J19&gt;Data!$AF$8,'US MDM-5000'!L19&gt;Data!$AF$8,'US MDM-5000'!N19&gt;Data!$AF$8),1,0)</f>
        <v>0</v>
      </c>
      <c r="V11" s="625" t="s">
        <v>305</v>
      </c>
      <c r="W11" t="str">
        <f>IMSUM(Y22,W21)</f>
        <v>22.2333333333334</v>
      </c>
      <c r="X11" t="str">
        <f>IMSUM(X21,W22)</f>
        <v>-11.1166666666667-19.254631477474i</v>
      </c>
      <c r="Y11" t="str">
        <f>IMSUM(X22,Y21)</f>
        <v>-11.1166666666667+19.254631477474i</v>
      </c>
      <c r="Z11" s="94"/>
      <c r="AA11" t="str">
        <f>IMSUM(AA21,AC22)</f>
        <v>20.7</v>
      </c>
      <c r="AB11" t="str">
        <f>IMSUM(AB21,AA22)</f>
        <v>-10.35-17.9267258583379i</v>
      </c>
      <c r="AC11" t="str">
        <f>IMSUM(AC21,AB22)</f>
        <v>-10.35+17.9267258583379i</v>
      </c>
      <c r="AH11">
        <f>IF(OR(AND($D11=AH$1,$E11&gt;0),AND($F11=AH$1,$G11&gt;0),AND($H11=AH$1,$I11&gt;0),AND($J11=AH$1,$K11&gt;0),AND($L11=AH$1,$M11&gt;0),AND($N11=AH$1,$O11&gt;0)),1,0)</f>
        <v>0</v>
      </c>
      <c r="AI11">
        <f t="shared" ref="AI11:AM12" si="1">IF(OR(AND($D11=AI$1,$E11&gt;0),AND($F11=AI$1,$G11&gt;0),AND($H11=AI$1,$I11&gt;0),AND($J11=AI$1,$K11&gt;0),AND($L11=AI$1,$M11&gt;0),AND($N11=AI$1,$O11&gt;0)),1,0)</f>
        <v>0</v>
      </c>
      <c r="AJ11">
        <f t="shared" si="1"/>
        <v>0</v>
      </c>
      <c r="AK11">
        <f t="shared" si="1"/>
        <v>0</v>
      </c>
      <c r="AL11">
        <f t="shared" si="1"/>
        <v>0</v>
      </c>
      <c r="AM11">
        <f t="shared" si="1"/>
        <v>0</v>
      </c>
    </row>
    <row r="12" spans="1:39" x14ac:dyDescent="0.2">
      <c r="A12" s="1"/>
      <c r="B12" s="23" t="s">
        <v>205</v>
      </c>
      <c r="C12" s="1"/>
      <c r="D12" s="36" t="s">
        <v>127</v>
      </c>
      <c r="E12" s="33">
        <v>0</v>
      </c>
      <c r="F12" s="37" t="s">
        <v>127</v>
      </c>
      <c r="G12" s="33">
        <v>0</v>
      </c>
      <c r="H12" s="37" t="s">
        <v>127</v>
      </c>
      <c r="I12" s="33">
        <v>0</v>
      </c>
      <c r="J12" s="37" t="s">
        <v>127</v>
      </c>
      <c r="K12" s="33">
        <v>0</v>
      </c>
      <c r="L12" s="37" t="s">
        <v>127</v>
      </c>
      <c r="M12" s="33">
        <v>0</v>
      </c>
      <c r="N12" s="37" t="s">
        <v>127</v>
      </c>
      <c r="O12" s="35">
        <v>0</v>
      </c>
      <c r="P12" s="1"/>
      <c r="R12" t="s">
        <v>204</v>
      </c>
      <c r="S12">
        <f>IF(OR('US MDM-5000'!D25&gt;Data!$AF$13,'US MDM-5000'!F25&gt;Data!$AF$13,'US MDM-5000'!H25&gt;Data!$AF$13,'US MDM-5000'!J25&gt;Data!$AF$13,'US MDM-5000'!L25&gt;Data!$AF$13,'US MDM-5000'!N25&gt;Data!$AF$13),1,0)</f>
        <v>0</v>
      </c>
      <c r="V12" s="625"/>
      <c r="W12" t="str">
        <f>IF(D10="On",COMPLEX((D18*COS(RADIANS(30))),(D18*SIN(RADIANS(30)))),COMPLEX((0*COS(RADIANS(30))),(0*SIN(RADIANS(30)))))</f>
        <v>16.2916666666667+9.40599813554764i</v>
      </c>
      <c r="X12" t="str">
        <f>IF(F10="On",COMPLEX((F18*COS(RADIANS(-90))),(F18*SIN(RADIANS(-90)))),COMPLEX((0*COS(RADIANS(-90))),(0*SIN(RADIANS(-90)))))</f>
        <v>1.15237440826396E-15-18.8119962710953i</v>
      </c>
      <c r="Y12" t="str">
        <f>IF(H10="On",COMPLEX((H18*COS(RADIANS(150))),(H18*SIN(RADIANS(150)))),COMPLEX((0*COS(RADIANS(150))),(0*SIN(RADIANS(150)))))</f>
        <v>-16.2916666666667+9.40599813554764i</v>
      </c>
      <c r="Z12" s="94" t="s">
        <v>306</v>
      </c>
      <c r="AA12" t="str">
        <f>IF(J10="On",COMPLEX(J18*COS(RADIANS(30)),J18*SIN(RADIANS(30))),COMPLEX(0*COS(RADIANS(30)),0*SIN(RADIANS(30))))</f>
        <v>16.8666666666667+9.73797454033168i</v>
      </c>
      <c r="AB12" t="str">
        <f>IF(L10="On",COMPLEX(L18*COS(RADIANS(-90)),L18*SIN(RADIANS(-90))),COMPLEX(0*COS(RADIANS(-90)),0*SIN(RADIANS(-90))))</f>
        <v>1.19304644620269E-15-19.4759490806634i</v>
      </c>
      <c r="AC12" t="str">
        <f>IF(N10="On",COMPLEX(N18*COS(RADIANS(150)),N18*SIN(RADIANS(150))),COMPLEX(0*COS(RADIANS(150)),0*SIN(RADIANS(150))))</f>
        <v>-16.8666666666667+9.73797454033168i</v>
      </c>
      <c r="AH12">
        <f>IF(OR(AND($D12=AH$1,$E12&gt;0),AND($F12=AH$1,$G12&gt;0),AND($H12=AH$1,$I12&gt;0),AND($J12=AH$1,$K12&gt;0),AND($L12=AH$1,$M12&gt;0),AND($N12=AH$1,$O12&gt;0)),1,0)</f>
        <v>0</v>
      </c>
      <c r="AI12">
        <f t="shared" si="1"/>
        <v>0</v>
      </c>
      <c r="AJ12">
        <f t="shared" si="1"/>
        <v>0</v>
      </c>
      <c r="AK12">
        <f t="shared" si="1"/>
        <v>0</v>
      </c>
      <c r="AL12">
        <f t="shared" si="1"/>
        <v>0</v>
      </c>
      <c r="AM12">
        <f t="shared" si="1"/>
        <v>0</v>
      </c>
    </row>
    <row r="13" spans="1:39" x14ac:dyDescent="0.2">
      <c r="A13" s="1"/>
      <c r="B13" s="23" t="s">
        <v>121</v>
      </c>
      <c r="C13" s="1"/>
      <c r="D13" s="38">
        <v>100</v>
      </c>
      <c r="E13" s="29" t="s">
        <v>307</v>
      </c>
      <c r="F13" s="39">
        <v>100</v>
      </c>
      <c r="G13" s="29" t="s">
        <v>307</v>
      </c>
      <c r="H13" s="39">
        <v>100</v>
      </c>
      <c r="I13" s="29" t="s">
        <v>307</v>
      </c>
      <c r="J13" s="39">
        <v>100</v>
      </c>
      <c r="K13" s="29" t="s">
        <v>307</v>
      </c>
      <c r="L13" s="39">
        <v>100</v>
      </c>
      <c r="M13" s="29" t="s">
        <v>307</v>
      </c>
      <c r="N13" s="39">
        <v>100</v>
      </c>
      <c r="O13" s="28" t="s">
        <v>307</v>
      </c>
      <c r="P13" s="1"/>
      <c r="W13" t="str">
        <f>IF(D10="On",COMPLEX(-(D18*COS(RADIANS(30))),-(D18*SIN(RADIANS(30)))),COMPLEX(-(0*COS(RADIANS(30))),-(0*SIN(RADIANS(30)))))</f>
        <v>-16.2916666666667-9.40599813554764i</v>
      </c>
      <c r="X13" t="str">
        <f>IF(F10="On",COMPLEX(-(F18*COS(RADIANS(-90))),-(F18*SIN(RADIANS(-90)))),COMPLEX(-(0*COS(RADIANS(-90))),-(0*SIN(RADIANS(-90)))))</f>
        <v>-1.15237440826396E-15+18.8119962710953i</v>
      </c>
      <c r="Y13" t="str">
        <f>IF(H10="On",COMPLEX(-(H18*COS(RADIANS(150))),-(H18*SIN(RADIANS(150)))),COMPLEX(-(0*COS(RADIANS(150))),-(0*SIN(RADIANS(150)))))</f>
        <v>16.2916666666667-9.40599813554764i</v>
      </c>
      <c r="Z13" s="96" t="s">
        <v>308</v>
      </c>
      <c r="AA13" t="str">
        <f>IF(J10="On",COMPLEX(-(J18*COS(RADIANS(30))),-(J18*SIN(RADIANS(30)))),COMPLEX(-(0*COS(RADIANS(30))),-(0*SIN(RADIANS(30)))))</f>
        <v>-16.8666666666667-9.73797454033168i</v>
      </c>
      <c r="AB13" t="str">
        <f>IF(L10="On",COMPLEX(-(L18*COS(RADIANS(-90))),-(L18*SIN(RADIANS(-90)))),COMPLEX(-(0*COS(RADIANS(-90))),-(0*SIN(RADIANS(-90)))))</f>
        <v>-1.19304644620269E-15+19.4759490806634i</v>
      </c>
      <c r="AC13" t="str">
        <f>IF(N10="On",COMPLEX(-(N18*COS(RADIANS(150))),-(N18*SIN(RADIANS(150)))),COMPLEX(-(0*COS(RADIANS(150))),-(0*SIN(RADIANS(150)))))</f>
        <v>16.8666666666667-9.73797454033168i</v>
      </c>
    </row>
    <row r="14" spans="1:39" ht="11" customHeight="1" x14ac:dyDescent="0.2">
      <c r="A14" s="1"/>
      <c r="B14" s="2"/>
      <c r="C14" s="1"/>
      <c r="D14" s="555" t="s">
        <v>210</v>
      </c>
      <c r="E14" s="556"/>
      <c r="F14" s="556"/>
      <c r="G14" s="556"/>
      <c r="H14" s="556"/>
      <c r="I14" s="556"/>
      <c r="J14" s="557" t="s">
        <v>210</v>
      </c>
      <c r="K14" s="556"/>
      <c r="L14" s="556"/>
      <c r="M14" s="556"/>
      <c r="N14" s="556"/>
      <c r="O14" s="558"/>
      <c r="P14" s="1"/>
      <c r="R14" t="s">
        <v>208</v>
      </c>
      <c r="S14">
        <f>SUM(S8:S12)</f>
        <v>0</v>
      </c>
      <c r="T14">
        <f>SUM(T8:T9)</f>
        <v>0</v>
      </c>
      <c r="U14">
        <f>SUM(S14:T14)</f>
        <v>0</v>
      </c>
      <c r="Z14" s="94"/>
    </row>
    <row r="15" spans="1:39" ht="6" customHeight="1" x14ac:dyDescent="0.2">
      <c r="A15" s="1"/>
      <c r="B15" s="2"/>
      <c r="C15" s="1"/>
      <c r="D15" s="3"/>
      <c r="E15" s="4"/>
      <c r="F15" s="5"/>
      <c r="G15" s="4"/>
      <c r="H15" s="5"/>
      <c r="I15" s="4"/>
      <c r="J15" s="5"/>
      <c r="K15" s="4"/>
      <c r="L15" s="5"/>
      <c r="M15" s="4"/>
      <c r="N15" s="5"/>
      <c r="O15" s="6"/>
      <c r="P15" s="1"/>
      <c r="Z15" s="94"/>
    </row>
    <row r="16" spans="1:39" ht="20" customHeight="1" x14ac:dyDescent="0.2">
      <c r="A16" s="1"/>
      <c r="B16" s="23" t="s">
        <v>271</v>
      </c>
      <c r="C16" s="1"/>
      <c r="D16" s="19">
        <f>W16</f>
        <v>207.84609690826545</v>
      </c>
      <c r="E16" s="29" t="s">
        <v>309</v>
      </c>
      <c r="F16" s="20">
        <f>X16</f>
        <v>207.846096908265</v>
      </c>
      <c r="G16" s="29" t="s">
        <v>309</v>
      </c>
      <c r="H16" s="20">
        <f>Y16</f>
        <v>207.84609690826545</v>
      </c>
      <c r="I16" s="29" t="s">
        <v>309</v>
      </c>
      <c r="J16" s="20">
        <f>AA16</f>
        <v>207.84609690826545</v>
      </c>
      <c r="K16" s="29" t="s">
        <v>309</v>
      </c>
      <c r="L16" s="20">
        <f>AB16</f>
        <v>207.846096908265</v>
      </c>
      <c r="M16" s="29" t="s">
        <v>309</v>
      </c>
      <c r="N16" s="20">
        <f>AC16</f>
        <v>207.84609690826545</v>
      </c>
      <c r="O16" s="28" t="s">
        <v>309</v>
      </c>
      <c r="P16" s="1"/>
      <c r="R16">
        <f>W16</f>
        <v>207.84609690826545</v>
      </c>
      <c r="V16" s="623" t="s">
        <v>104</v>
      </c>
      <c r="W16">
        <f>IMABS(W18)</f>
        <v>207.84609690826545</v>
      </c>
      <c r="X16">
        <f>IMABS(X18)</f>
        <v>207.846096908265</v>
      </c>
      <c r="Y16">
        <f>IMABS(Y18)</f>
        <v>207.84609690826545</v>
      </c>
      <c r="Z16" s="90" t="s">
        <v>293</v>
      </c>
      <c r="AA16">
        <f>IMABS(AA18)</f>
        <v>207.84609690826545</v>
      </c>
      <c r="AB16">
        <f>IMABS(AB18)</f>
        <v>207.846096908265</v>
      </c>
      <c r="AC16">
        <f>IMABS(AC18)</f>
        <v>207.84609690826545</v>
      </c>
    </row>
    <row r="17" spans="1:30" x14ac:dyDescent="0.2">
      <c r="A17" s="1"/>
      <c r="B17" s="23" t="s">
        <v>211</v>
      </c>
      <c r="C17" s="1"/>
      <c r="D17" s="12">
        <f>IF(D10="On",(((VLOOKUP($D11,Data!$R$4:$U$76,2,FALSE)*$E11)+(VLOOKUP($D12,Data!$R$4:$U$76,2,FALSE)*$E12))/$D16)*Data!$R$3,0)</f>
        <v>12.836420984982668</v>
      </c>
      <c r="E17" s="13" t="str">
        <f>IF(D17&gt;Data!$AF$7,"&lt;OVER",IF(D17&gt;Data!$AG$7,"&lt;Not UL","A RMS"))</f>
        <v>A RMS</v>
      </c>
      <c r="F17" s="14">
        <f>IF(F10="On",(((VLOOKUP($F11,Data!$R$4:$U$62,2,FALSE)*$G11)+(VLOOKUP($F12,Data!$R$4:$U$62,2,FALSE)*$G12))/$F16)*Data!$R$3,0)</f>
        <v>12.836420984982697</v>
      </c>
      <c r="G17" s="13" t="str">
        <f>IF(F17&gt;Data!$AF$7,"&lt;OVER",IF(F17&gt;Data!$AG$7,"&lt;Not UL","A RMS"))</f>
        <v>A RMS</v>
      </c>
      <c r="H17" s="14">
        <f>IF(H10="On",(((VLOOKUP($H11,Data!$R$4:$U$62,2,FALSE)*$I11)+(VLOOKUP($H12,Data!$R$4:$U$62,2,FALSE)*$I12))/H16)*Data!$R$3,0)</f>
        <v>12.836420984982668</v>
      </c>
      <c r="I17" s="13" t="str">
        <f>IF(H17&gt;Data!$AF$7,"&lt;OVER",IF(H17&gt;Data!$AG$7,"&lt;Not UL","A RMS"))</f>
        <v>A RMS</v>
      </c>
      <c r="J17" s="14">
        <f>IF(J10="On",(((VLOOKUP($J11,Data!$R$4:$U$62,2,FALSE)*$K11)+(VLOOKUP($J12,Data!$R$4:$U$62,2,FALSE)*$K12))/$J16)*Data!$R$3,0)</f>
        <v>11.951150572225243</v>
      </c>
      <c r="K17" s="13" t="str">
        <f>IF(J17&gt;Data!$AF$7,"&lt;OVER",IF(J17&gt;Data!$AG$7,"&lt;Not UL","A RMS"))</f>
        <v>A RMS</v>
      </c>
      <c r="L17" s="14">
        <f>IF(L10="On",(((VLOOKUP($L11,Data!$R$4:$U$62,2,FALSE)*$M11)+(VLOOKUP($L12,Data!$R$4:$U$62,2,FALSE)*$M12))/$L16)*Data!$R$3,0)</f>
        <v>11.95115057222527</v>
      </c>
      <c r="M17" s="13" t="str">
        <f>IF(L17&gt;Data!$AF$7,"&lt;OVER",IF(L17&gt;Data!$AG$7,"&lt;Not UL","A RMS"))</f>
        <v>A RMS</v>
      </c>
      <c r="N17" s="14">
        <f>IF(N10="On",(((VLOOKUP($N11,Data!$R$4:$U$62,2,FALSE)*$O11)+(VLOOKUP($N12,Data!$R$4:$U$62,2,FALSE)*$O12))/$N16)*Data!$R$3,0)</f>
        <v>11.951150572225243</v>
      </c>
      <c r="O17" s="15" t="str">
        <f>IF(N17&gt;Data!$AF$7,"&lt;OVER",IF(N17&gt;Data!$AG$7,"&lt;Not UL","A RMS"))</f>
        <v>A RMS</v>
      </c>
      <c r="P17" s="1"/>
      <c r="V17" s="623"/>
      <c r="W17">
        <f>DEGREES(IMARGUMENT(W18))</f>
        <v>30.000000000000085</v>
      </c>
      <c r="X17">
        <f>DEGREES(IMARGUMENT(X18))</f>
        <v>-90</v>
      </c>
      <c r="Y17">
        <f>DEGREES(IMARGUMENT(Y18))</f>
        <v>149.99999999999991</v>
      </c>
      <c r="Z17" s="90" t="s">
        <v>296</v>
      </c>
      <c r="AA17">
        <f>DEGREES(IMARGUMENT(AA18))</f>
        <v>30.000000000000085</v>
      </c>
      <c r="AB17">
        <f>DEGREES(IMARGUMENT(AB18))</f>
        <v>-90</v>
      </c>
      <c r="AC17">
        <f>DEGREES(IMARGUMENT(AC18))</f>
        <v>149.99999999999991</v>
      </c>
    </row>
    <row r="18" spans="1:30" x14ac:dyDescent="0.2">
      <c r="A18" s="1"/>
      <c r="B18" s="23" t="s">
        <v>199</v>
      </c>
      <c r="C18" s="1"/>
      <c r="D18" s="12">
        <f>IF(D10="On",(((VLOOKUP($D11,Data!$R$4:$U$76,3,FALSE)*$E11)+(VLOOKUP($D12,Data!$R$4:$U$76,3,FALSE)*$E12))/$D16)*Data!$R$3,0)</f>
        <v>18.811996271095289</v>
      </c>
      <c r="E18" s="13" t="s">
        <v>116</v>
      </c>
      <c r="F18" s="14">
        <f>IF(F10="On",(((VLOOKUP($F11,Data!$R$4:$U$62,3,FALSE)*$G11)+(VLOOKUP($F12,Data!$R$4:$U$62,3,FALSE)*$G12))/$F16)*Data!$R$3,0)</f>
        <v>18.811996271095332</v>
      </c>
      <c r="G18" s="13" t="s">
        <v>116</v>
      </c>
      <c r="H18" s="14">
        <f>IF(H10="On",(((VLOOKUP($H11,Data!$R$4:$U$62,3,FALSE)*$I11)+(VLOOKUP($H12,Data!$R$4:$U$62,3,FALSE)*$I12))/$H16)*Data!$R$3,0)</f>
        <v>18.811996271095289</v>
      </c>
      <c r="I18" s="13" t="s">
        <v>116</v>
      </c>
      <c r="J18" s="14">
        <f>IF(J10="On",(((VLOOKUP($J11,Data!$R$4:$U$62,3,FALSE)*$K11)+(VLOOKUP($J12,Data!$R$4:$U$62,3,FALSE)*$K12))/$J16)*Data!$R$3,0)</f>
        <v>19.475949080663362</v>
      </c>
      <c r="K18" s="13" t="s">
        <v>116</v>
      </c>
      <c r="L18" s="14">
        <f>IF(L10="On",(((VLOOKUP($L11,Data!$R$4:$U$62,3,FALSE)*$M11)+(VLOOKUP($L12,Data!$R$4:$U$62,3,FALSE)*$M12))/$L16)*Data!$R$3,0)</f>
        <v>19.475949080663405</v>
      </c>
      <c r="M18" s="13" t="s">
        <v>116</v>
      </c>
      <c r="N18" s="14">
        <f>IF(N10="On",(((VLOOKUP($N11,Data!$R$4:$U$62,3,FALSE)*$O11)+(VLOOKUP($N12,Data!$R$4:$U$62,3,FALSE)*$O12))/$N16)*Data!$R$3,0)</f>
        <v>19.475949080663362</v>
      </c>
      <c r="O18" s="15" t="s">
        <v>116</v>
      </c>
      <c r="P18" s="1"/>
      <c r="V18" s="623"/>
      <c r="W18" t="str">
        <f>COMPLEX((W2-X2),(W3-X3))</f>
        <v>180+103.923048454133i</v>
      </c>
      <c r="X18" t="str">
        <f>COMPLEX(X2-Y2,X3-Y3)</f>
        <v>-207.846096908265i</v>
      </c>
      <c r="Y18" t="str">
        <f>COMPLEX(Y2-W2,Y3-W3)</f>
        <v>-180+103.923048454133i</v>
      </c>
      <c r="Z18" s="94" t="s">
        <v>306</v>
      </c>
      <c r="AA18" t="str">
        <f>COMPLEX(AA2-AB2,AA3-AB3)</f>
        <v>180+103.923048454133i</v>
      </c>
      <c r="AB18" t="str">
        <f>COMPLEX(AB2-AC2,AB3-AC3)</f>
        <v>-207.846096908265i</v>
      </c>
      <c r="AC18" t="str">
        <f>COMPLEX(AC2-AA2,AC3-AA3)</f>
        <v>-180+103.923048454133i</v>
      </c>
    </row>
    <row r="19" spans="1:30" x14ac:dyDescent="0.2">
      <c r="A19" s="1"/>
      <c r="B19" s="23" t="s">
        <v>200</v>
      </c>
      <c r="C19" s="1"/>
      <c r="D19" s="12">
        <f>IF(D10="On",(((VLOOKUP($D11,Data!$R$4:$U$76,4,FALSE)*$E11)+(VLOOKUP($D12,Data!$R$4:$U$76,4,FALSE)*$E12))/$D16)*Data!$R$3,0)</f>
        <v>44.263520637871274</v>
      </c>
      <c r="E19" s="13" t="str">
        <f>IF(D19&gt;Data!$AF$8,"&lt;OVER!","A Pk")</f>
        <v>A Pk</v>
      </c>
      <c r="F19" s="14">
        <f>IF(F10="On",(((VLOOKUP($F11,Data!$R$4:$U$62,4,FALSE)*$G11)+(VLOOKUP($F12,Data!$R$4:$U$62,4,FALSE)*$G12))/$F16)*Data!$R$3,0)</f>
        <v>44.263520637871366</v>
      </c>
      <c r="G19" s="13" t="str">
        <f>IF(F19&gt;Data!$AF$8,"&lt;OVER!","A Pk")</f>
        <v>A Pk</v>
      </c>
      <c r="H19" s="14">
        <f>IF(H10="On",(((VLOOKUP($H11,Data!$R$4:$U$62,4,FALSE)*$I11)+(VLOOKUP($H12,Data!$R$4:$U$62,4,FALSE)*$I12))/$H16)*Data!$R$3,0)</f>
        <v>44.263520637871274</v>
      </c>
      <c r="I19" s="13" t="str">
        <f>IF(H19&gt;Data!$AF$8,"&lt;OVER!","A Pk")</f>
        <v>A Pk</v>
      </c>
      <c r="J19" s="14">
        <f>IF(J10="On",(((VLOOKUP($J11,Data!$R$4:$U$62,4,FALSE)*$K11)+(VLOOKUP($J12,Data!$R$4:$U$62,4,FALSE)*$K12))/$J16)*Data!$R$3,0)</f>
        <v>34.525546097539589</v>
      </c>
      <c r="K19" s="13" t="str">
        <f>IF(J19&gt;Data!$AF$8,"&lt;OVER!","A Pk")</f>
        <v>A Pk</v>
      </c>
      <c r="L19" s="14">
        <f>IF(L10="On",(((VLOOKUP($L11,Data!$R$4:$U$62,4,FALSE)*$M11)+(VLOOKUP($L12,Data!$R$4:$U$62,4,FALSE)*$M12))/$L16)*Data!$R$3,0)</f>
        <v>34.525546097539667</v>
      </c>
      <c r="M19" s="13" t="str">
        <f>IF(L19&gt;Data!$AF$8,"&lt;OVER!","A Pk")</f>
        <v>A Pk</v>
      </c>
      <c r="N19" s="14">
        <f>IF(N10="On",(((VLOOKUP($N11,Data!$R$4:$U$62,4,FALSE)*$O11)+(VLOOKUP($N12,Data!$R$4:$U$62,4,FALSE)*$O12))/$N16)*Data!$R$3,0)</f>
        <v>34.525546097539589</v>
      </c>
      <c r="O19" s="15" t="str">
        <f>IF(N19&gt;Data!$AF$8,"&lt;OVER!","A Pk")</f>
        <v>A Pk</v>
      </c>
      <c r="P19" s="1"/>
      <c r="V19" s="623" t="s">
        <v>310</v>
      </c>
      <c r="W19" s="93"/>
      <c r="X19" s="93"/>
      <c r="Y19" s="93"/>
      <c r="Z19" s="94"/>
      <c r="AA19" s="93"/>
      <c r="AB19" s="93"/>
      <c r="AC19" s="93"/>
    </row>
    <row r="20" spans="1:30" ht="6" customHeight="1" x14ac:dyDescent="0.2">
      <c r="A20" s="1"/>
      <c r="B20" s="23"/>
      <c r="C20" s="1"/>
      <c r="D20" s="12"/>
      <c r="E20" s="16"/>
      <c r="F20" s="14"/>
      <c r="G20" s="16"/>
      <c r="H20" s="14"/>
      <c r="I20" s="16"/>
      <c r="J20" s="14"/>
      <c r="K20" s="16"/>
      <c r="L20" s="14"/>
      <c r="M20" s="16"/>
      <c r="N20" s="14"/>
      <c r="O20" s="15"/>
      <c r="P20" s="1"/>
      <c r="V20" s="623"/>
      <c r="Z20" s="94"/>
    </row>
    <row r="21" spans="1:30" x14ac:dyDescent="0.2">
      <c r="A21" s="1"/>
      <c r="B21" s="23" t="s">
        <v>212</v>
      </c>
      <c r="C21" s="1"/>
      <c r="D21" s="17">
        <f>(17*(10^-8))*(((2*D13)/3.280839895)/(((PI()/4)*((0.127*(92^((36-O2)/39)))^2))*(10^-5)))</f>
        <v>0.31320372803044888</v>
      </c>
      <c r="E21" s="16" t="s">
        <v>213</v>
      </c>
      <c r="F21" s="18">
        <f>(17*(10^-8))*(((2*F13)/3.280839895)/(((PI()/4)*((0.127*(92^((36-O2)/39)))^2))*(10^-5)))</f>
        <v>0.31320372803044888</v>
      </c>
      <c r="G21" s="16" t="s">
        <v>213</v>
      </c>
      <c r="H21" s="18">
        <f>(17*(10^-8))*(((2*H13)/3.280839895)/(((PI()/4)*((0.127*(92^((36-O2)/39)))^2))*(10^-5)))</f>
        <v>0.31320372803044888</v>
      </c>
      <c r="I21" s="16" t="s">
        <v>213</v>
      </c>
      <c r="J21" s="18">
        <f>(17*(10^-8))*(((2*J13)/3.280839895)/(((PI()/4)*((0.127*(92^((36-O2)/39)))^2))*(10^-5)))</f>
        <v>0.31320372803044888</v>
      </c>
      <c r="K21" s="16" t="s">
        <v>213</v>
      </c>
      <c r="L21" s="18">
        <f>(17*(10^-8))*(((2*L13)/3.280839895)/(((PI()/4)*((0.127*(92^((36-O2)/39)))^2))*(10^-5)))</f>
        <v>0.31320372803044888</v>
      </c>
      <c r="M21" s="16" t="s">
        <v>213</v>
      </c>
      <c r="N21" s="18">
        <f>(17*(10^-8))*(((2*N13)/3.280839895)/(((PI()/4)*((0.127*(92^((36-O2)/39)))^2))*(10^-5)))</f>
        <v>0.31320372803044888</v>
      </c>
      <c r="O21" s="15" t="s">
        <v>213</v>
      </c>
      <c r="P21" s="1"/>
      <c r="V21" s="623"/>
      <c r="W21" t="str">
        <f>IF(D10="On",COMPLEX((D17*COS(RADIANS(30))),(D17*SIN(RADIANS(30)))),COMPLEX((0*COS(RADIANS(30))),(0*SIN(RADIANS(30)))))</f>
        <v>11.1166666666667+6.41821049249133i</v>
      </c>
      <c r="X21" t="str">
        <f>IF(F10="On",COMPLEX((F17*COS(RADIANS(-90))),(F17*SIN(RADIANS(-90)))),COMPLEX((0*COS(RADIANS(-90))),(0*SIN(RADIANS(-90)))))</f>
        <v>7.86326066815407E-16-12.8364209849827i</v>
      </c>
      <c r="Y21" t="str">
        <f>IF(H10="On",COMPLEX((H17*COS(RADIANS(150))),(H17*SIN(RADIANS(150)))),COMPLEX((0*COS(RADIANS(150))),(0*SIN(RADIANS(150)))))</f>
        <v>-11.1166666666667+6.41821049249133i</v>
      </c>
      <c r="Z21" s="94" t="s">
        <v>306</v>
      </c>
      <c r="AA21" t="str">
        <f>IF(J10="On",COMPLEX(J17*COS(RADIANS(30)),J17*SIN(RADIANS(30))),COMPLEX(0*COS(RADIANS(30)),0*SIN(RADIANS(30))))</f>
        <v>10.35+5.97557528611262i</v>
      </c>
      <c r="AB21" t="str">
        <f>IF(L10="On",COMPLEX(L17*COS(RADIANS(-90)),L17*SIN(RADIANS(-90))),COMPLEX(0*COS(RADIANS(-90)),0*SIN(RADIANS(-90))))</f>
        <v>7.32096682897103E-16-11.9511505722253i</v>
      </c>
      <c r="AC21" t="str">
        <f>IF(N10="On",COMPLEX(N17*COS(RADIANS(150)),N17*SIN(RADIANS(150))),COMPLEX(0*COS(RADIANS(150)),0*SIN(RADIANS(150))))</f>
        <v>-10.35+5.97557528611262i</v>
      </c>
    </row>
    <row r="22" spans="1:30" x14ac:dyDescent="0.2">
      <c r="A22" s="1"/>
      <c r="B22" s="23" t="s">
        <v>214</v>
      </c>
      <c r="C22" s="1"/>
      <c r="D22" s="19">
        <f>D16*SQRT(2)</f>
        <v>293.93876913398162</v>
      </c>
      <c r="E22" s="16" t="s">
        <v>215</v>
      </c>
      <c r="F22" s="20">
        <f>F16*SQRT(2)</f>
        <v>293.938769133981</v>
      </c>
      <c r="G22" s="16" t="s">
        <v>215</v>
      </c>
      <c r="H22" s="20">
        <f>H16*SQRT(2)</f>
        <v>293.93876913398162</v>
      </c>
      <c r="I22" s="16" t="s">
        <v>215</v>
      </c>
      <c r="J22" s="20">
        <f>J16*SQRT(2)</f>
        <v>293.93876913398162</v>
      </c>
      <c r="K22" s="16" t="s">
        <v>215</v>
      </c>
      <c r="L22" s="20">
        <f>L16*SQRT(2)</f>
        <v>293.938769133981</v>
      </c>
      <c r="M22" s="16" t="s">
        <v>215</v>
      </c>
      <c r="N22" s="20">
        <f>N16*SQRT(2)</f>
        <v>293.93876913398162</v>
      </c>
      <c r="O22" s="15" t="s">
        <v>215</v>
      </c>
      <c r="P22" s="1"/>
      <c r="V22" s="623"/>
      <c r="W22" t="str">
        <f>IF(D10="On",COMPLEX(-(D17*COS(RADIANS(30))),-(D17*SIN(RADIANS(30)))),COMPLEX(-(0*COS(RADIANS(30))),-(0*SIN(RADIANS(30)))))</f>
        <v>-11.1166666666667-6.41821049249133i</v>
      </c>
      <c r="X22" t="str">
        <f>IF(F10="On",COMPLEX(-(F17*COS(RADIANS(-90))),-(F17*SIN(RADIANS(-90)))),COMPLEX(-(0*COS(RADIANS(-90))),-(0*SIN(RADIANS(-90)))))</f>
        <v>-7.86326066815407E-16+12.8364209849827i</v>
      </c>
      <c r="Y22" t="str">
        <f>IF(H10="On",COMPLEX(-(H17*COS(RADIANS(150))),-(H17*SIN(RADIANS(150)))),COMPLEX(-(0*COS(RADIANS(150))),-(0*SIN(RADIANS(150)))))</f>
        <v>11.1166666666667-6.41821049249133i</v>
      </c>
      <c r="Z22" s="96" t="s">
        <v>308</v>
      </c>
      <c r="AA22" t="str">
        <f>IF(J10="On",COMPLEX(-(J17*COS(RADIANS(30))),-(J17*SIN(RADIANS(30)))),COMPLEX(-(0*COS(RADIANS(30))),-(0*SIN(RADIANS(30)))))</f>
        <v>-10.35-5.97557528611262i</v>
      </c>
      <c r="AB22" t="str">
        <f>IF(L10="On",COMPLEX(-(L17*COS(RADIANS(-90))),-(L17*SIN(RADIANS(-90)))),COMPLEX(-(0*COS(RADIANS(-90))),-(0*SIN(RADIANS(-90)))))</f>
        <v>-7.32096682897103E-16+11.9511505722253i</v>
      </c>
      <c r="AC22" t="str">
        <f>IF(N10="On",COMPLEX(-(N17*COS(RADIANS(150))),-(N17*SIN(RADIANS(150)))),COMPLEX(-(0*COS(RADIANS(150))),-(0*SIN(RADIANS(150)))))</f>
        <v>10.35-5.97557528611262i</v>
      </c>
    </row>
    <row r="23" spans="1:30" x14ac:dyDescent="0.2">
      <c r="A23" s="1"/>
      <c r="B23" s="23" t="s">
        <v>223</v>
      </c>
      <c r="C23" s="1"/>
      <c r="D23" s="12">
        <f>D19*D21</f>
        <v>13.863499679533996</v>
      </c>
      <c r="E23" s="16" t="s">
        <v>215</v>
      </c>
      <c r="F23" s="14">
        <f>F19*F21</f>
        <v>13.863499679534025</v>
      </c>
      <c r="G23" s="16" t="s">
        <v>215</v>
      </c>
      <c r="H23" s="14">
        <f>H19*H21</f>
        <v>13.863499679533996</v>
      </c>
      <c r="I23" s="16" t="s">
        <v>215</v>
      </c>
      <c r="J23" s="14">
        <f>J19*J21</f>
        <v>10.813529750036516</v>
      </c>
      <c r="K23" s="16" t="s">
        <v>215</v>
      </c>
      <c r="L23" s="14">
        <f>L19*L21</f>
        <v>10.81352975003654</v>
      </c>
      <c r="M23" s="16" t="s">
        <v>215</v>
      </c>
      <c r="N23" s="14">
        <f>N19*N21</f>
        <v>10.813529750036516</v>
      </c>
      <c r="O23" s="15" t="s">
        <v>215</v>
      </c>
      <c r="P23" s="1"/>
      <c r="V23" s="623"/>
      <c r="Z23" s="90" t="s">
        <v>305</v>
      </c>
    </row>
    <row r="24" spans="1:30" x14ac:dyDescent="0.2">
      <c r="A24" s="1"/>
      <c r="B24" s="23" t="s">
        <v>225</v>
      </c>
      <c r="C24" s="1"/>
      <c r="D24" s="19">
        <f>D22-D23</f>
        <v>280.07526945444761</v>
      </c>
      <c r="E24" s="16" t="s">
        <v>215</v>
      </c>
      <c r="F24" s="20">
        <f>F22-F23</f>
        <v>280.07526945444698</v>
      </c>
      <c r="G24" s="16" t="s">
        <v>215</v>
      </c>
      <c r="H24" s="20">
        <f>H22-H23</f>
        <v>280.07526945444761</v>
      </c>
      <c r="I24" s="16" t="s">
        <v>215</v>
      </c>
      <c r="J24" s="20">
        <f>J22-J23</f>
        <v>283.12523938394509</v>
      </c>
      <c r="K24" s="16" t="s">
        <v>215</v>
      </c>
      <c r="L24" s="20">
        <f>L22-L23</f>
        <v>283.12523938394446</v>
      </c>
      <c r="M24" s="16" t="s">
        <v>215</v>
      </c>
      <c r="N24" s="20">
        <f>N22-N23</f>
        <v>283.12523938394509</v>
      </c>
      <c r="O24" s="15" t="s">
        <v>215</v>
      </c>
      <c r="P24" s="1"/>
      <c r="Q24" s="571" t="s">
        <v>311</v>
      </c>
      <c r="S24" s="89"/>
      <c r="T24" s="90" t="s">
        <v>166</v>
      </c>
      <c r="U24" s="90" t="s">
        <v>167</v>
      </c>
      <c r="V24" s="90" t="s">
        <v>168</v>
      </c>
      <c r="W24" s="90"/>
      <c r="X24" s="89"/>
      <c r="Y24" s="90" t="s">
        <v>217</v>
      </c>
      <c r="Z24" s="90" t="s">
        <v>218</v>
      </c>
      <c r="AA24" s="90" t="s">
        <v>219</v>
      </c>
      <c r="AB24" s="90" t="s">
        <v>220</v>
      </c>
      <c r="AC24" s="90" t="s">
        <v>221</v>
      </c>
      <c r="AD24" s="90" t="s">
        <v>222</v>
      </c>
    </row>
    <row r="25" spans="1:30" ht="17" thickBot="1" x14ac:dyDescent="0.25">
      <c r="A25" s="1"/>
      <c r="B25" s="24" t="s">
        <v>227</v>
      </c>
      <c r="C25" s="1"/>
      <c r="D25" s="141">
        <f>(D23*100)/D22</f>
        <v>4.7164583700133846</v>
      </c>
      <c r="E25" s="21" t="str">
        <f>IF(D25&gt;Data!$AF$13,"&lt;OVER!","% V Pk")</f>
        <v>% V Pk</v>
      </c>
      <c r="F25" s="142">
        <f>(F23*100)/F22</f>
        <v>4.7164583700134051</v>
      </c>
      <c r="G25" s="21" t="str">
        <f>IF(F25&gt;Data!$AF$13,"&lt;OVER!","% V Pk")</f>
        <v>% V Pk</v>
      </c>
      <c r="H25" s="142">
        <f>(H23*100)/H22</f>
        <v>4.7164583700133846</v>
      </c>
      <c r="I25" s="21" t="str">
        <f>IF(H25&gt;Data!$AF$13,"&lt;OVER!","% V Pk")</f>
        <v>% V Pk</v>
      </c>
      <c r="J25" s="142">
        <f>(J23*100)/J22</f>
        <v>3.67883752861044</v>
      </c>
      <c r="K25" s="21" t="str">
        <f>IF(J25&gt;Data!$AF$13,"&lt;OVER!","% V Pk")</f>
        <v>% V Pk</v>
      </c>
      <c r="L25" s="142">
        <f>(L23*100)/L22</f>
        <v>3.6788375286104564</v>
      </c>
      <c r="M25" s="21" t="str">
        <f>IF(L25&gt;Data!$AF$13,"&lt;OVER!","% V Pk")</f>
        <v>% V Pk</v>
      </c>
      <c r="N25" s="142">
        <f>(N23*100)/N22</f>
        <v>3.67883752861044</v>
      </c>
      <c r="O25" s="22" t="str">
        <f>IF(N25&gt;Data!$AF$13,"&lt;OVER!","% V Pk")</f>
        <v>% V Pk</v>
      </c>
      <c r="P25" s="1"/>
      <c r="Q25" s="571"/>
      <c r="S25" s="89" t="s">
        <v>224</v>
      </c>
      <c r="T25" s="90">
        <f>Data!$AF$6</f>
        <v>30</v>
      </c>
      <c r="U25" s="90">
        <f>Data!$AF$6</f>
        <v>30</v>
      </c>
      <c r="V25" s="90">
        <f>Data!$AF$6</f>
        <v>30</v>
      </c>
      <c r="W25" s="90"/>
      <c r="X25" s="89" t="s">
        <v>224</v>
      </c>
      <c r="Y25" s="90">
        <f>Data!$AF$7</f>
        <v>20</v>
      </c>
      <c r="Z25" s="90">
        <f>Data!$AF$7</f>
        <v>20</v>
      </c>
      <c r="AA25" s="90">
        <f>Data!$AF$7</f>
        <v>20</v>
      </c>
      <c r="AB25" s="90">
        <f>Data!$AF$7</f>
        <v>20</v>
      </c>
      <c r="AC25" s="90">
        <f>Data!$AF$7</f>
        <v>20</v>
      </c>
      <c r="AD25" s="90">
        <f>Data!$AF$7</f>
        <v>20</v>
      </c>
    </row>
    <row r="26" spans="1:30" x14ac:dyDescent="0.2">
      <c r="A26" s="1"/>
      <c r="B26" s="1"/>
      <c r="C26" s="1"/>
      <c r="D26" s="1"/>
      <c r="E26" s="1"/>
      <c r="F26" s="1"/>
      <c r="G26" s="1"/>
      <c r="H26" s="1"/>
      <c r="I26" s="1"/>
      <c r="J26" s="1"/>
      <c r="K26" s="1"/>
      <c r="L26" s="1"/>
      <c r="M26" s="1"/>
      <c r="N26" s="1"/>
      <c r="O26" s="1"/>
      <c r="P26" s="1"/>
      <c r="Q26" s="571"/>
      <c r="S26" s="89" t="s">
        <v>312</v>
      </c>
      <c r="T26" s="90">
        <f>Data!$AG$6</f>
        <v>24</v>
      </c>
      <c r="U26" s="90">
        <f>Data!$AG$6</f>
        <v>24</v>
      </c>
      <c r="V26" s="90">
        <f>Data!$AG$6</f>
        <v>24</v>
      </c>
      <c r="W26" s="90"/>
      <c r="X26" s="89" t="s">
        <v>312</v>
      </c>
      <c r="Y26" s="90">
        <f>Data!$AG$7</f>
        <v>16</v>
      </c>
      <c r="Z26" s="90">
        <f>Data!$AG$7</f>
        <v>16</v>
      </c>
      <c r="AA26" s="90">
        <f>Data!$AG$7</f>
        <v>16</v>
      </c>
      <c r="AB26" s="90">
        <f>Data!$AG$7</f>
        <v>16</v>
      </c>
      <c r="AC26" s="90">
        <f>Data!$AG$7</f>
        <v>16</v>
      </c>
      <c r="AD26" s="90">
        <f>Data!$AG$7</f>
        <v>16</v>
      </c>
    </row>
    <row r="27" spans="1:30" x14ac:dyDescent="0.2">
      <c r="A27" s="1"/>
      <c r="B27" s="1"/>
      <c r="C27" s="1"/>
      <c r="D27" s="1"/>
      <c r="E27" s="1"/>
      <c r="F27" s="1"/>
      <c r="G27" s="1"/>
      <c r="H27" s="1"/>
      <c r="I27" s="1"/>
      <c r="J27" s="1"/>
      <c r="K27" s="1"/>
      <c r="L27" s="1"/>
      <c r="M27" s="1"/>
      <c r="N27" s="1"/>
      <c r="O27" s="1"/>
      <c r="P27" s="1"/>
      <c r="Q27" s="571"/>
      <c r="S27" s="89" t="str">
        <f>'US MDM-5000'!B5</f>
        <v>MLTC A RMS</v>
      </c>
      <c r="T27" s="90">
        <f>'US MDM-5000'!D5</f>
        <v>22.233333333333398</v>
      </c>
      <c r="U27" s="90">
        <f>'US MDM-5000'!F5</f>
        <v>22.233333333333331</v>
      </c>
      <c r="V27" s="90">
        <f>'US MDM-5000'!H5</f>
        <v>20.700000000000017</v>
      </c>
      <c r="W27" s="90"/>
      <c r="X27" s="89" t="s">
        <v>226</v>
      </c>
      <c r="Y27" s="90">
        <f>Data!$AF$8</f>
        <v>80</v>
      </c>
      <c r="Z27" s="90">
        <f>Data!$AF$8</f>
        <v>80</v>
      </c>
      <c r="AA27" s="90">
        <f>Data!$AF$8</f>
        <v>80</v>
      </c>
      <c r="AB27" s="90">
        <f>Data!$AF$8</f>
        <v>80</v>
      </c>
      <c r="AC27" s="90">
        <f>Data!$AF$8</f>
        <v>80</v>
      </c>
      <c r="AD27" s="90">
        <f>Data!$AF$8</f>
        <v>80</v>
      </c>
    </row>
    <row r="28" spans="1:30" x14ac:dyDescent="0.2">
      <c r="A28" s="1"/>
      <c r="B28" s="1"/>
      <c r="C28" s="1"/>
      <c r="D28" s="1"/>
      <c r="E28" s="1"/>
      <c r="F28" s="1"/>
      <c r="G28" s="1"/>
      <c r="H28" s="1"/>
      <c r="I28" s="1"/>
      <c r="J28" s="1"/>
      <c r="K28" s="1"/>
      <c r="L28" s="1"/>
      <c r="M28" s="1"/>
      <c r="N28" s="1"/>
      <c r="O28" s="1"/>
      <c r="P28" s="1"/>
      <c r="Q28" s="571"/>
      <c r="S28" s="89" t="str">
        <f>'US MDM-5000'!B6</f>
        <v>Apparent Power</v>
      </c>
      <c r="T28" s="90">
        <f>'US MDM-5000'!D6</f>
        <v>3910.0000000000082</v>
      </c>
      <c r="U28" s="90">
        <f>'US MDM-5000'!F6</f>
        <v>3909.9999999999959</v>
      </c>
      <c r="V28" s="90">
        <f>'US MDM-5000'!H6</f>
        <v>4048.0000000000055</v>
      </c>
      <c r="W28" s="90"/>
      <c r="X28" s="89" t="str">
        <f>'US MDM-5000'!B17</f>
        <v>MLTC RMS</v>
      </c>
      <c r="Y28" s="91">
        <f>'US MDM-5000'!$D17</f>
        <v>12.836420984982668</v>
      </c>
      <c r="Z28" s="91">
        <f>'US MDM-5000'!F17</f>
        <v>12.836420984982697</v>
      </c>
      <c r="AA28" s="90">
        <f>'US MDM-5000'!H17</f>
        <v>12.836420984982668</v>
      </c>
      <c r="AB28" s="90">
        <f>'US MDM-5000'!J17</f>
        <v>11.951150572225243</v>
      </c>
      <c r="AC28" s="90">
        <f>'US MDM-5000'!L17</f>
        <v>11.95115057222527</v>
      </c>
      <c r="AD28" s="90">
        <f>'US MDM-5000'!N17</f>
        <v>11.951150572225243</v>
      </c>
    </row>
    <row r="29" spans="1:30" x14ac:dyDescent="0.2">
      <c r="A29" s="1"/>
      <c r="B29" s="1"/>
      <c r="C29" s="1"/>
      <c r="D29" s="1"/>
      <c r="E29" s="1"/>
      <c r="F29" s="1"/>
      <c r="G29" s="1"/>
      <c r="H29" s="1"/>
      <c r="I29" s="1"/>
      <c r="J29" s="1"/>
      <c r="K29" s="1"/>
      <c r="L29" s="1"/>
      <c r="M29" s="1"/>
      <c r="N29" s="1"/>
      <c r="O29" s="1"/>
      <c r="P29" s="1"/>
      <c r="Q29" s="571"/>
      <c r="S29" s="89" t="str">
        <f>'US MDM-5000'!B7</f>
        <v>Real Power</v>
      </c>
      <c r="T29" s="90">
        <f>'US MDM-5000'!D7</f>
        <v>2668.0000000000077</v>
      </c>
      <c r="U29" s="90">
        <f>'US MDM-5000'!F7</f>
        <v>2667.9999999999995</v>
      </c>
      <c r="V29" s="90">
        <f>'US MDM-5000'!H7</f>
        <v>2484.0000000000018</v>
      </c>
      <c r="W29" s="90"/>
      <c r="X29" s="89" t="str">
        <f>'US MDM-5000'!B18</f>
        <v>Burst RMS</v>
      </c>
      <c r="Y29" s="90">
        <f>'US MDM-5000'!D18</f>
        <v>18.811996271095289</v>
      </c>
      <c r="Z29" s="90">
        <f>'US MDM-5000'!F18</f>
        <v>18.811996271095332</v>
      </c>
      <c r="AA29" s="90">
        <f>'US MDM-5000'!H18</f>
        <v>18.811996271095289</v>
      </c>
      <c r="AB29" s="90">
        <f>'US MDM-5000'!J18</f>
        <v>19.475949080663362</v>
      </c>
      <c r="AC29" s="90">
        <f>'US MDM-5000'!L18</f>
        <v>19.475949080663405</v>
      </c>
      <c r="AD29" s="90">
        <f>'US MDM-5000'!N18</f>
        <v>19.475949080663362</v>
      </c>
    </row>
    <row r="30" spans="1:30" x14ac:dyDescent="0.2">
      <c r="A30" s="1"/>
      <c r="B30" s="1"/>
      <c r="C30" s="1"/>
      <c r="D30" s="1"/>
      <c r="E30" s="1"/>
      <c r="F30" s="1"/>
      <c r="G30" s="1"/>
      <c r="H30" s="1"/>
      <c r="I30" s="1"/>
      <c r="J30" s="1"/>
      <c r="K30" s="1"/>
      <c r="L30" s="1"/>
      <c r="M30" s="1"/>
      <c r="N30" s="1"/>
      <c r="O30" s="1"/>
      <c r="P30" s="1"/>
      <c r="Q30" s="571"/>
      <c r="S30" s="89"/>
      <c r="T30" s="90"/>
      <c r="U30" s="90"/>
      <c r="V30" s="90"/>
      <c r="W30" s="90"/>
      <c r="X30" s="89" t="str">
        <f>'US MDM-5000'!B19</f>
        <v>Max Inst Pk</v>
      </c>
      <c r="Y30" s="90">
        <f>'US MDM-5000'!D19</f>
        <v>44.263520637871274</v>
      </c>
      <c r="Z30" s="90">
        <f>'US MDM-5000'!F19</f>
        <v>44.263520637871366</v>
      </c>
      <c r="AA30" s="90">
        <f>'US MDM-5000'!H19</f>
        <v>44.263520637871274</v>
      </c>
      <c r="AB30" s="90">
        <f>'US MDM-5000'!J19</f>
        <v>34.525546097539589</v>
      </c>
      <c r="AC30" s="90">
        <f>'US MDM-5000'!L19</f>
        <v>34.525546097539667</v>
      </c>
      <c r="AD30" s="90">
        <f>'US MDM-5000'!N19</f>
        <v>34.525546097539589</v>
      </c>
    </row>
    <row r="31" spans="1:30" x14ac:dyDescent="0.2">
      <c r="A31" s="1"/>
      <c r="B31" s="1"/>
      <c r="C31" s="1"/>
      <c r="D31" s="1"/>
      <c r="E31" s="1"/>
      <c r="F31" s="1"/>
      <c r="G31" s="1"/>
      <c r="H31" s="1"/>
      <c r="I31" s="1"/>
      <c r="J31" s="1"/>
      <c r="K31" s="1"/>
      <c r="L31" s="1"/>
      <c r="M31" s="1"/>
      <c r="N31" s="1"/>
      <c r="O31" s="1"/>
      <c r="P31" s="1"/>
      <c r="Q31" s="571"/>
      <c r="S31" s="89"/>
      <c r="T31" s="90"/>
      <c r="U31" s="90"/>
      <c r="V31" s="90"/>
      <c r="W31" s="90"/>
      <c r="X31" s="89"/>
      <c r="Y31" s="90"/>
      <c r="Z31" s="90"/>
      <c r="AA31" s="90"/>
      <c r="AB31" s="90"/>
      <c r="AC31" s="90"/>
      <c r="AD31" s="90"/>
    </row>
    <row r="32" spans="1:30" x14ac:dyDescent="0.2">
      <c r="A32" s="1"/>
      <c r="B32" s="1"/>
      <c r="C32" s="1"/>
      <c r="D32" s="1"/>
      <c r="E32" s="1"/>
      <c r="F32" s="1"/>
      <c r="G32" s="1"/>
      <c r="H32" s="1"/>
      <c r="I32" s="1"/>
      <c r="J32" s="1"/>
      <c r="K32" s="1"/>
      <c r="L32" s="1"/>
      <c r="M32" s="1"/>
      <c r="N32" s="1"/>
      <c r="O32" s="1"/>
      <c r="P32" s="1"/>
      <c r="Q32" s="571"/>
      <c r="S32" s="89" t="s">
        <v>228</v>
      </c>
      <c r="T32" s="90">
        <f>IF(T27&lt;=T26,(100*T27)/T25,100*T26/T25)</f>
        <v>74.111111111111327</v>
      </c>
      <c r="U32" s="90">
        <f>IF(U27&lt;=U26,(100*U27)/U25,100*U26/U25)</f>
        <v>74.1111111111111</v>
      </c>
      <c r="V32" s="90">
        <f>IF(V27&lt;=V26,(100*V27)/V25,100*V26/V25)</f>
        <v>69.000000000000057</v>
      </c>
      <c r="W32" s="90"/>
      <c r="X32" s="89" t="s">
        <v>228</v>
      </c>
      <c r="Y32" s="90">
        <f t="shared" ref="Y32:AD32" si="2">IF(Y28&lt;=Y26,(100*Y28)/Y25,100*Y26/Y25)</f>
        <v>64.182104924913347</v>
      </c>
      <c r="Z32" s="90">
        <f t="shared" si="2"/>
        <v>64.182104924913489</v>
      </c>
      <c r="AA32" s="90">
        <f t="shared" si="2"/>
        <v>64.182104924913347</v>
      </c>
      <c r="AB32" s="90">
        <f t="shared" si="2"/>
        <v>59.755752861126211</v>
      </c>
      <c r="AC32" s="90">
        <f t="shared" si="2"/>
        <v>59.755752861126346</v>
      </c>
      <c r="AD32" s="90">
        <f t="shared" si="2"/>
        <v>59.755752861126211</v>
      </c>
    </row>
    <row r="33" spans="1:30" x14ac:dyDescent="0.2">
      <c r="A33" s="1"/>
      <c r="B33" s="1"/>
      <c r="C33" s="1"/>
      <c r="D33" s="1"/>
      <c r="E33" s="1"/>
      <c r="F33" s="1"/>
      <c r="G33" s="1"/>
      <c r="H33" s="1"/>
      <c r="I33" s="1"/>
      <c r="J33" s="1"/>
      <c r="K33" s="1"/>
      <c r="L33" s="1"/>
      <c r="M33" s="1"/>
      <c r="N33" s="1"/>
      <c r="O33" s="1"/>
      <c r="P33" s="1"/>
      <c r="Q33" s="571"/>
      <c r="S33" s="89" t="s">
        <v>313</v>
      </c>
      <c r="T33">
        <f>IF(T27&lt;=T26,0,((100*T27)/T25)-T32)</f>
        <v>0</v>
      </c>
      <c r="U33">
        <f>IF(U27&lt;=U26,0,((100*U27)/U25)-U32)</f>
        <v>0</v>
      </c>
      <c r="V33">
        <f>IF(V27&lt;=V26,0,((100*V27)/V25)-V32)</f>
        <v>0</v>
      </c>
      <c r="W33" s="90"/>
      <c r="X33" s="89" t="s">
        <v>313</v>
      </c>
      <c r="Y33" s="90">
        <f t="shared" ref="Y33:AD33" si="3">IF(Y28&lt;=Y26,0,((100*Y28)/Y25)-Y32)</f>
        <v>0</v>
      </c>
      <c r="Z33" s="90">
        <f t="shared" si="3"/>
        <v>0</v>
      </c>
      <c r="AA33" s="90">
        <f t="shared" si="3"/>
        <v>0</v>
      </c>
      <c r="AB33" s="90">
        <f t="shared" si="3"/>
        <v>0</v>
      </c>
      <c r="AC33" s="90">
        <f t="shared" si="3"/>
        <v>0</v>
      </c>
      <c r="AD33" s="90">
        <f t="shared" si="3"/>
        <v>0</v>
      </c>
    </row>
    <row r="34" spans="1:30" x14ac:dyDescent="0.2">
      <c r="A34" s="1"/>
      <c r="B34" s="1"/>
      <c r="C34" s="1"/>
      <c r="D34" s="1"/>
      <c r="E34" s="1"/>
      <c r="F34" s="1"/>
      <c r="G34" s="1"/>
      <c r="H34" s="1"/>
      <c r="I34" s="1"/>
      <c r="J34" s="1"/>
      <c r="K34" s="1"/>
      <c r="L34" s="1"/>
      <c r="M34" s="1"/>
      <c r="N34" s="1"/>
      <c r="O34" s="1"/>
      <c r="P34" s="1"/>
      <c r="Q34" s="571"/>
      <c r="S34" s="89" t="s">
        <v>229</v>
      </c>
      <c r="T34" s="90">
        <f>(T32+T33)-100</f>
        <v>-25.888888888888673</v>
      </c>
      <c r="U34" s="90">
        <f>(U32+U33)-100</f>
        <v>-25.8888888888889</v>
      </c>
      <c r="V34" s="90">
        <f>(V32+V33)-100</f>
        <v>-30.999999999999943</v>
      </c>
      <c r="W34" s="90"/>
      <c r="X34" s="89" t="s">
        <v>229</v>
      </c>
      <c r="Y34" s="90">
        <f t="shared" ref="Y34:AD34" si="4">(Y32+Y33)-100</f>
        <v>-35.817895075086653</v>
      </c>
      <c r="Z34" s="90">
        <f t="shared" si="4"/>
        <v>-35.817895075086511</v>
      </c>
      <c r="AA34" s="90">
        <f t="shared" si="4"/>
        <v>-35.817895075086653</v>
      </c>
      <c r="AB34" s="90">
        <f t="shared" si="4"/>
        <v>-40.244247138873789</v>
      </c>
      <c r="AC34" s="90">
        <f t="shared" si="4"/>
        <v>-40.244247138873654</v>
      </c>
      <c r="AD34" s="90">
        <f t="shared" si="4"/>
        <v>-40.244247138873789</v>
      </c>
    </row>
    <row r="35" spans="1:30" x14ac:dyDescent="0.2">
      <c r="A35" s="1"/>
      <c r="B35" s="1"/>
      <c r="C35" s="1"/>
      <c r="D35" s="1"/>
      <c r="E35" s="1"/>
      <c r="F35" s="1"/>
      <c r="G35" s="1"/>
      <c r="H35" s="1"/>
      <c r="I35" s="1"/>
      <c r="J35" s="1"/>
      <c r="K35" s="1"/>
      <c r="L35" s="1"/>
      <c r="M35" s="1"/>
      <c r="N35" s="1"/>
      <c r="O35" s="1"/>
      <c r="P35" s="1"/>
      <c r="Q35" s="571"/>
      <c r="S35" s="89" t="s">
        <v>314</v>
      </c>
      <c r="T35">
        <f>IF(T33=0,0,IF(T33&gt;100-T32,100-T32,T33))</f>
        <v>0</v>
      </c>
      <c r="U35">
        <f>IF(U33=0,0,IF(U33&gt;100-U32,100-U32,U33))</f>
        <v>0</v>
      </c>
      <c r="V35">
        <f>IF(V33=0,0,IF(V33&gt;100-V32,100-V32,V33))</f>
        <v>0</v>
      </c>
      <c r="W35" s="90"/>
      <c r="X35" s="89" t="s">
        <v>314</v>
      </c>
      <c r="Y35" s="90">
        <f t="shared" ref="Y35:AD35" si="5">IF(Y33=0,0,IF(Y33&gt;100-Y32,100-Y32,Y33))</f>
        <v>0</v>
      </c>
      <c r="Z35" s="90">
        <f t="shared" si="5"/>
        <v>0</v>
      </c>
      <c r="AA35" s="90">
        <f t="shared" si="5"/>
        <v>0</v>
      </c>
      <c r="AB35" s="90">
        <f t="shared" si="5"/>
        <v>0</v>
      </c>
      <c r="AC35" s="90">
        <f t="shared" si="5"/>
        <v>0</v>
      </c>
      <c r="AD35" s="90">
        <f t="shared" si="5"/>
        <v>0</v>
      </c>
    </row>
    <row r="36" spans="1:30" x14ac:dyDescent="0.2">
      <c r="A36" s="1"/>
      <c r="B36" s="1"/>
      <c r="C36" s="1"/>
      <c r="D36" s="1"/>
      <c r="E36" s="1"/>
      <c r="F36" s="1"/>
      <c r="G36" s="1"/>
      <c r="H36" s="1"/>
      <c r="I36" s="1"/>
      <c r="J36" s="1"/>
      <c r="K36" s="1"/>
      <c r="L36" s="1"/>
      <c r="M36" s="1"/>
      <c r="N36" s="1"/>
      <c r="O36" s="1"/>
      <c r="P36" s="1"/>
      <c r="Q36" s="571"/>
      <c r="S36" s="89" t="s">
        <v>231</v>
      </c>
      <c r="T36" s="90" t="e">
        <f>IF(T32+T33&gt;100,(T32+T33)-(T35+T32),NA())</f>
        <v>#N/A</v>
      </c>
      <c r="U36" s="90" t="e">
        <f>IF(U32+U33&gt;100,(U32+U33)-(U35+U32),NA())</f>
        <v>#N/A</v>
      </c>
      <c r="V36" s="90" t="e">
        <f>IF(V32+V33&gt;100,(V32+V33)-(V35+V32),NA())</f>
        <v>#N/A</v>
      </c>
      <c r="W36" s="90"/>
      <c r="X36" s="89" t="s">
        <v>231</v>
      </c>
      <c r="Y36" s="90" t="e">
        <f t="shared" ref="Y36:AD36" si="6">IF(Y32+Y33&gt;100,(Y32+Y33)-(Y35+Y32),NA())</f>
        <v>#N/A</v>
      </c>
      <c r="Z36" s="90" t="e">
        <f t="shared" si="6"/>
        <v>#N/A</v>
      </c>
      <c r="AA36" s="90" t="e">
        <f t="shared" si="6"/>
        <v>#N/A</v>
      </c>
      <c r="AB36" s="90" t="e">
        <f t="shared" si="6"/>
        <v>#N/A</v>
      </c>
      <c r="AC36" s="90" t="e">
        <f t="shared" si="6"/>
        <v>#N/A</v>
      </c>
      <c r="AD36" s="90" t="e">
        <f t="shared" si="6"/>
        <v>#N/A</v>
      </c>
    </row>
    <row r="37" spans="1:30" x14ac:dyDescent="0.2">
      <c r="A37" s="1"/>
      <c r="B37" s="1"/>
      <c r="C37" s="1"/>
      <c r="D37" s="1"/>
      <c r="E37" s="1"/>
      <c r="F37" s="1"/>
      <c r="G37" s="1"/>
      <c r="H37" s="1"/>
      <c r="I37" s="1"/>
      <c r="J37" s="1"/>
      <c r="K37" s="1"/>
      <c r="L37" s="1"/>
      <c r="M37" s="1"/>
      <c r="N37" s="1"/>
      <c r="O37" s="1"/>
      <c r="P37" s="1"/>
      <c r="Q37" s="571"/>
      <c r="S37" s="89"/>
      <c r="W37" s="90"/>
      <c r="X37" s="89" t="s">
        <v>232</v>
      </c>
      <c r="Y37" s="90">
        <f>Data!$AF$13</f>
        <v>10</v>
      </c>
      <c r="Z37" s="90">
        <f>Data!$AF$13</f>
        <v>10</v>
      </c>
      <c r="AA37" s="90">
        <f>Data!$AF$13</f>
        <v>10</v>
      </c>
      <c r="AB37" s="90">
        <f>Data!$AF$13</f>
        <v>10</v>
      </c>
      <c r="AC37" s="90">
        <f>Data!$AF$13</f>
        <v>10</v>
      </c>
      <c r="AD37" s="90">
        <f>Data!$AF$13</f>
        <v>10</v>
      </c>
    </row>
    <row r="38" spans="1:30" x14ac:dyDescent="0.2">
      <c r="A38" s="1"/>
      <c r="B38" s="1"/>
      <c r="C38" s="1"/>
      <c r="D38" s="1"/>
      <c r="E38" s="1"/>
      <c r="F38" s="1"/>
      <c r="G38" s="1"/>
      <c r="H38" s="1"/>
      <c r="I38" s="1"/>
      <c r="J38" s="1"/>
      <c r="K38" s="1"/>
      <c r="L38" s="1"/>
      <c r="M38" s="1"/>
      <c r="N38" s="1"/>
      <c r="O38" s="1"/>
      <c r="P38" s="1"/>
      <c r="Q38" s="571"/>
      <c r="S38" s="89"/>
      <c r="T38" s="90"/>
      <c r="U38" s="90"/>
      <c r="V38" s="90"/>
      <c r="W38" s="90"/>
      <c r="X38" s="89" t="s">
        <v>233</v>
      </c>
      <c r="Y38" s="92">
        <f>'US MDM-5000'!D25</f>
        <v>4.7164583700133846</v>
      </c>
      <c r="Z38" s="92">
        <f>'US MDM-5000'!F25</f>
        <v>4.7164583700134051</v>
      </c>
      <c r="AA38" s="92">
        <f>'US MDM-5000'!H25</f>
        <v>4.7164583700133846</v>
      </c>
      <c r="AB38" s="92">
        <f>'US MDM-5000'!J25</f>
        <v>3.67883752861044</v>
      </c>
      <c r="AC38" s="92">
        <f>'US MDM-5000'!L25</f>
        <v>3.6788375286104564</v>
      </c>
      <c r="AD38" s="92">
        <f>'US MDM-5000'!N25</f>
        <v>3.67883752861044</v>
      </c>
    </row>
    <row r="39" spans="1:30" x14ac:dyDescent="0.2">
      <c r="A39" s="1"/>
      <c r="B39" s="1"/>
      <c r="C39" s="1"/>
      <c r="D39" s="1"/>
      <c r="E39" s="1"/>
      <c r="F39" s="1"/>
      <c r="G39" s="1"/>
      <c r="H39" s="1"/>
      <c r="I39" s="1"/>
      <c r="J39" s="1"/>
      <c r="K39" s="1"/>
      <c r="L39" s="1"/>
      <c r="M39" s="1"/>
      <c r="N39" s="1"/>
      <c r="O39" s="1"/>
      <c r="P39" s="1"/>
      <c r="Q39" s="571"/>
      <c r="S39" s="89"/>
      <c r="T39" s="90"/>
      <c r="U39" s="90"/>
      <c r="V39" s="90"/>
      <c r="W39" s="90"/>
      <c r="X39" s="89" t="s">
        <v>234</v>
      </c>
      <c r="Y39" s="90">
        <f t="shared" ref="Y39:AD39" si="7">IF(-Y38&gt;-Y37,-Y38,-Y37)</f>
        <v>-4.7164583700133846</v>
      </c>
      <c r="Z39" s="90">
        <f t="shared" si="7"/>
        <v>-4.7164583700134051</v>
      </c>
      <c r="AA39" s="90">
        <f t="shared" si="7"/>
        <v>-4.7164583700133846</v>
      </c>
      <c r="AB39" s="90">
        <f t="shared" si="7"/>
        <v>-3.67883752861044</v>
      </c>
      <c r="AC39" s="90">
        <f t="shared" si="7"/>
        <v>-3.6788375286104564</v>
      </c>
      <c r="AD39" s="90">
        <f t="shared" si="7"/>
        <v>-3.67883752861044</v>
      </c>
    </row>
    <row r="40" spans="1:30" ht="17" thickBot="1" x14ac:dyDescent="0.25">
      <c r="A40" s="1"/>
      <c r="B40" s="71" t="str">
        <f>Data!$T$1</f>
        <v>Meyer Sound Laboratories, Inc. Berkeley, California, USA                                 www.meyersound.com</v>
      </c>
      <c r="C40" s="1"/>
      <c r="D40" s="1"/>
      <c r="E40" s="1"/>
      <c r="F40" s="1"/>
      <c r="G40" s="1"/>
      <c r="H40" s="1"/>
      <c r="I40" s="1"/>
      <c r="J40" s="1"/>
      <c r="K40" s="1"/>
      <c r="L40" s="1"/>
      <c r="M40" s="1"/>
      <c r="N40" s="1"/>
      <c r="O40" s="1"/>
      <c r="P40" s="392" t="str">
        <f>Data!$G$1</f>
        <v>© 2021</v>
      </c>
      <c r="Q40" s="571"/>
      <c r="S40" s="89"/>
      <c r="T40" s="90"/>
      <c r="U40" s="90"/>
      <c r="V40" s="90"/>
      <c r="W40" s="90"/>
      <c r="X40" s="89" t="s">
        <v>235</v>
      </c>
      <c r="Y40" s="90" t="e">
        <f t="shared" ref="Y40:AD40" si="8">IF(-Y38&gt;-Y37,NA(),-Y38+Y37)</f>
        <v>#N/A</v>
      </c>
      <c r="Z40" s="90" t="e">
        <f t="shared" si="8"/>
        <v>#N/A</v>
      </c>
      <c r="AA40" s="90" t="e">
        <f t="shared" si="8"/>
        <v>#N/A</v>
      </c>
      <c r="AB40" s="90" t="e">
        <f t="shared" si="8"/>
        <v>#N/A</v>
      </c>
      <c r="AC40" s="90" t="e">
        <f t="shared" si="8"/>
        <v>#N/A</v>
      </c>
      <c r="AD40" s="90" t="e">
        <f t="shared" si="8"/>
        <v>#N/A</v>
      </c>
    </row>
    <row r="41" spans="1:30" x14ac:dyDescent="0.2">
      <c r="A41" s="133"/>
      <c r="B41" s="133"/>
      <c r="C41" s="133"/>
      <c r="D41" s="133"/>
      <c r="E41" s="133"/>
      <c r="F41" s="133"/>
      <c r="G41" s="133"/>
      <c r="H41" s="133"/>
      <c r="I41" s="133"/>
      <c r="J41" s="133"/>
      <c r="K41" s="133"/>
      <c r="L41" s="133"/>
      <c r="M41" s="133"/>
      <c r="N41" s="133"/>
      <c r="O41" s="163" t="str">
        <f>Data!$M$1</f>
        <v>06.257.005.01 C</v>
      </c>
      <c r="P41" s="133"/>
      <c r="W41" t="s">
        <v>272</v>
      </c>
      <c r="Z41" s="90"/>
      <c r="AA41" t="s">
        <v>272</v>
      </c>
    </row>
    <row r="42" spans="1:30" x14ac:dyDescent="0.2">
      <c r="A42" s="1"/>
      <c r="B42" s="10" t="s">
        <v>192</v>
      </c>
      <c r="C42" s="1"/>
      <c r="D42" s="73" t="s">
        <v>279</v>
      </c>
      <c r="E42" s="73" t="s">
        <v>280</v>
      </c>
      <c r="F42" s="73" t="s">
        <v>281</v>
      </c>
      <c r="G42" s="74" t="s">
        <v>282</v>
      </c>
      <c r="H42" s="74" t="s">
        <v>283</v>
      </c>
      <c r="I42" s="74" t="s">
        <v>284</v>
      </c>
      <c r="J42" s="1"/>
      <c r="K42" s="627" t="s">
        <v>160</v>
      </c>
      <c r="L42" s="628"/>
      <c r="M42" s="104" t="s">
        <v>158</v>
      </c>
      <c r="N42" s="70"/>
      <c r="O42" s="72">
        <v>12</v>
      </c>
      <c r="P42" s="1"/>
      <c r="V42" s="623" t="s">
        <v>104</v>
      </c>
      <c r="W42" s="93">
        <f>D43*COS(RADIANS(0))</f>
        <v>120</v>
      </c>
      <c r="X42" s="93">
        <f>E43*COS(RADIANS(-120))</f>
        <v>-59.999999999999972</v>
      </c>
      <c r="Y42" s="93">
        <f>F43*COS(RADIANS(120))</f>
        <v>-59.999999999999972</v>
      </c>
      <c r="Z42" s="95" t="s">
        <v>285</v>
      </c>
      <c r="AA42" s="93">
        <f>G43*COS(RADIANS(0))</f>
        <v>120</v>
      </c>
      <c r="AB42" s="93">
        <f>H43*COS(RADIANS(-120))</f>
        <v>-59.999999999999972</v>
      </c>
      <c r="AC42" s="93">
        <f>I43*COS(RADIANS(120))</f>
        <v>-59.999999999999972</v>
      </c>
    </row>
    <row r="43" spans="1:30" x14ac:dyDescent="0.2">
      <c r="A43" s="1"/>
      <c r="B43" s="69"/>
      <c r="C43" s="1"/>
      <c r="D43" s="139">
        <f>'Master US'!$D$4</f>
        <v>120</v>
      </c>
      <c r="E43" s="139">
        <f>'Master US'!$G$4</f>
        <v>120</v>
      </c>
      <c r="F43" s="139">
        <f>'Master US'!$J$4</f>
        <v>120</v>
      </c>
      <c r="G43" s="139">
        <f>'Master US'!$D$4</f>
        <v>120</v>
      </c>
      <c r="H43" s="139">
        <f>'Master US'!$G$4</f>
        <v>120</v>
      </c>
      <c r="I43" s="139">
        <f>'Master US'!$J$4</f>
        <v>120</v>
      </c>
      <c r="J43" s="97"/>
      <c r="K43" s="103" t="s">
        <v>286</v>
      </c>
      <c r="L43" s="103" t="s">
        <v>287</v>
      </c>
      <c r="M43" s="71"/>
      <c r="N43" s="134"/>
      <c r="O43" s="1"/>
      <c r="P43" s="1"/>
      <c r="V43" s="623"/>
      <c r="W43" s="93">
        <f>D43*SIN(RADIANS(0))</f>
        <v>0</v>
      </c>
      <c r="X43" s="93">
        <f>E43*SIN(RADIANS(-120))</f>
        <v>-103.92304845413264</v>
      </c>
      <c r="Y43" s="93">
        <f>F43*SIN(RADIANS(120))</f>
        <v>103.92304845413264</v>
      </c>
      <c r="Z43" s="95" t="s">
        <v>288</v>
      </c>
      <c r="AA43" s="93">
        <f>G43*SIN(RADIANS(0))</f>
        <v>0</v>
      </c>
      <c r="AB43" s="93">
        <f>H43*SIN(RADIANS(-120))</f>
        <v>-103.92304845413264</v>
      </c>
      <c r="AC43" s="93">
        <f>I43*SIN(RADIANS(120))</f>
        <v>103.92304845413264</v>
      </c>
    </row>
    <row r="44" spans="1:30" ht="5" customHeight="1" x14ac:dyDescent="0.25">
      <c r="A44" s="1"/>
      <c r="B44" s="2"/>
      <c r="C44" s="1"/>
      <c r="D44" s="5"/>
      <c r="E44" s="40"/>
      <c r="F44" s="5">
        <v>100</v>
      </c>
      <c r="G44" s="40"/>
      <c r="H44" s="5"/>
      <c r="I44" s="8"/>
      <c r="J44" s="98"/>
      <c r="K44" s="98"/>
      <c r="L44" s="1"/>
      <c r="M44" s="1"/>
      <c r="N44" s="1"/>
      <c r="O44" s="1"/>
      <c r="P44" s="1"/>
      <c r="V44" s="623"/>
      <c r="W44" s="93"/>
      <c r="X44" s="93"/>
      <c r="Y44" s="93"/>
      <c r="Z44" s="95"/>
      <c r="AA44" s="93"/>
      <c r="AB44" s="93"/>
      <c r="AC44" s="93"/>
    </row>
    <row r="45" spans="1:30" ht="15" customHeight="1" x14ac:dyDescent="0.25">
      <c r="A45" s="1"/>
      <c r="B45" s="23" t="s">
        <v>289</v>
      </c>
      <c r="C45" s="1"/>
      <c r="D45" s="75">
        <f>IMABS(W51)</f>
        <v>23</v>
      </c>
      <c r="E45" s="75">
        <f>IMABS(X51)</f>
        <v>23.000000000000014</v>
      </c>
      <c r="F45" s="75">
        <f>IMABS(Y51)</f>
        <v>23.000000000000014</v>
      </c>
      <c r="G45" s="75">
        <f>IMABS(AA51)</f>
        <v>19.1666666666667</v>
      </c>
      <c r="H45" s="75">
        <f>IMABS(AB51)</f>
        <v>19.166666666666629</v>
      </c>
      <c r="I45" s="75">
        <f>IMABS(AC51)</f>
        <v>19.166666666666629</v>
      </c>
      <c r="J45" s="102" t="s">
        <v>116</v>
      </c>
      <c r="K45" s="98"/>
      <c r="L45" s="1"/>
      <c r="M45" s="629" t="str">
        <f>IF('US MDM-5000'!U54=0,"O K pass UL",IF(AND('US MDM-5000'!S54=0,'US MDM-5000'!T54&gt;0),"OK Not UL",IF(AND('US MDM-5000'!S54&gt;0,'US MDM-5000'!T54&gt;0),"N O !","N O !")))</f>
        <v>O K pass UL</v>
      </c>
      <c r="N45" s="630"/>
      <c r="O45" s="635">
        <v>2</v>
      </c>
      <c r="P45" s="71"/>
      <c r="V45" s="623"/>
      <c r="W45" s="92" t="str">
        <f>COMPLEX(W42,W43)</f>
        <v>120</v>
      </c>
      <c r="X45" s="92" t="str">
        <f>COMPLEX(X42,X43)</f>
        <v>-60-103.923048454133i</v>
      </c>
      <c r="Y45" s="92" t="str">
        <f>COMPLEX(Y42,Y43)</f>
        <v>-60+103.923048454133i</v>
      </c>
      <c r="Z45" s="95" t="s">
        <v>290</v>
      </c>
      <c r="AA45" s="92" t="str">
        <f>COMPLEX(AA42,AA43)</f>
        <v>120</v>
      </c>
      <c r="AB45" s="92" t="str">
        <f>COMPLEX(AB42,AB43)</f>
        <v>-60-103.923048454133i</v>
      </c>
      <c r="AC45" s="92" t="str">
        <f>COMPLEX(AC42,AC43)</f>
        <v>-60+103.923048454133i</v>
      </c>
    </row>
    <row r="46" spans="1:30" ht="15" customHeight="1" x14ac:dyDescent="0.2">
      <c r="A46" s="1"/>
      <c r="B46" s="23" t="s">
        <v>291</v>
      </c>
      <c r="C46" s="1"/>
      <c r="D46" s="146">
        <f>D43*W46</f>
        <v>4231.9999999999918</v>
      </c>
      <c r="E46" s="146">
        <f>E43*X46</f>
        <v>4231.9999999999973</v>
      </c>
      <c r="F46" s="146">
        <f>F43*Y46</f>
        <v>4231.9999999999973</v>
      </c>
      <c r="G46" s="146">
        <f>G43*AA46</f>
        <v>4324.0000000000082</v>
      </c>
      <c r="H46" s="146">
        <f>H43*AB46</f>
        <v>4323.9999999999945</v>
      </c>
      <c r="I46" s="146">
        <f>I43*AC46</f>
        <v>4323.9999999999945</v>
      </c>
      <c r="J46" s="100" t="s">
        <v>265</v>
      </c>
      <c r="K46" s="106">
        <f>(SQRT(POWER(E43,2)+POWER(F43,2)+POWER(D43,2)))*(SQRT(POWER(E45,2)+POWER(F45,2)+POWER(D45,2)))</f>
        <v>8280.0000000000036</v>
      </c>
      <c r="L46" s="107">
        <f>(SQRT(POWER(H43,2)+POWER(I43,2)+POWER(G43,2)))*(SQRT(POWER(H45,2)+POWER(I45,2)+POWER(G45,2)))</f>
        <v>6899.9999999999955</v>
      </c>
      <c r="M46" s="631"/>
      <c r="N46" s="632"/>
      <c r="O46" s="635"/>
      <c r="P46" s="71"/>
      <c r="V46" s="623" t="s">
        <v>292</v>
      </c>
      <c r="W46">
        <f>IMABS(W49)</f>
        <v>35.266666666666602</v>
      </c>
      <c r="X46">
        <f>IMABS(X49)</f>
        <v>35.266666666666644</v>
      </c>
      <c r="Y46">
        <f>IMABS(Y49)</f>
        <v>35.266666666666644</v>
      </c>
      <c r="Z46" s="95" t="s">
        <v>293</v>
      </c>
      <c r="AA46">
        <f>IMABS(AA49)</f>
        <v>36.033333333333402</v>
      </c>
      <c r="AB46">
        <f>IMABS(AB49)</f>
        <v>36.033333333333289</v>
      </c>
      <c r="AC46">
        <f>IMABS(AC49)</f>
        <v>36.033333333333289</v>
      </c>
    </row>
    <row r="47" spans="1:30" ht="15" customHeight="1" x14ac:dyDescent="0.2">
      <c r="A47" s="1"/>
      <c r="B47" s="24" t="s">
        <v>266</v>
      </c>
      <c r="C47" s="1"/>
      <c r="D47" s="146">
        <f>IFERROR(D43*D45*COS(RADIANS(0-W47)),0)</f>
        <v>2760</v>
      </c>
      <c r="E47" s="146">
        <f>IFERROR(E43*E45*COS(RADIANS(-120-X47)),0)</f>
        <v>2760.0000000000018</v>
      </c>
      <c r="F47" s="146">
        <f>IFERROR(F43*F45*COS(RADIANS(120-Y47)),0)</f>
        <v>2760.0000000000018</v>
      </c>
      <c r="G47" s="146">
        <f>IFERROR(G43*G45*COS(RADIANS(0-AA47)),0)</f>
        <v>2300.0000000000041</v>
      </c>
      <c r="H47" s="146">
        <f>IFERROR(H43*H45*COS(RADIANS(-120-AB47)),0)</f>
        <v>2299.9999999999955</v>
      </c>
      <c r="I47" s="146">
        <f>IFERROR(I43*I45*COS(RADIANS(120-AC47)),0)</f>
        <v>2299.9999999999955</v>
      </c>
      <c r="J47" s="101" t="s">
        <v>267</v>
      </c>
      <c r="K47" s="105">
        <f>SUM(D47:F47)</f>
        <v>8280.0000000000036</v>
      </c>
      <c r="L47" s="108">
        <f>SUM(G47:I47)</f>
        <v>6899.9999999999955</v>
      </c>
      <c r="M47" s="633"/>
      <c r="N47" s="634"/>
      <c r="O47" s="635"/>
      <c r="P47" s="71"/>
      <c r="R47" t="s">
        <v>294</v>
      </c>
      <c r="S47" s="88">
        <f>O45</f>
        <v>2</v>
      </c>
      <c r="T47" t="s">
        <v>257</v>
      </c>
      <c r="V47" s="623"/>
      <c r="W47">
        <f>DEGREES(IMARGUMENT(W49))</f>
        <v>0</v>
      </c>
      <c r="X47">
        <f>DEGREES(IMARGUMENT(X49))</f>
        <v>-119.99999999999997</v>
      </c>
      <c r="Y47">
        <f>DEGREES(IMARGUMENT(Y49))</f>
        <v>119.99999999999997</v>
      </c>
      <c r="Z47" s="90" t="s">
        <v>296</v>
      </c>
      <c r="AA47">
        <f>DEGREES(IMARGUMENT(AA49))</f>
        <v>0</v>
      </c>
      <c r="AB47">
        <f>DEGREES(IMARGUMENT(AB49))</f>
        <v>-120.00000000000011</v>
      </c>
      <c r="AC47">
        <f>DEGREES(IMARGUMENT(AC49))</f>
        <v>120.00000000000011</v>
      </c>
    </row>
    <row r="48" spans="1:30" ht="8" customHeight="1" thickBot="1" x14ac:dyDescent="0.25">
      <c r="A48" s="1"/>
      <c r="B48" s="1"/>
      <c r="C48" s="1"/>
      <c r="D48" s="1"/>
      <c r="E48" s="1"/>
      <c r="F48" s="1"/>
      <c r="G48" s="1"/>
      <c r="H48" s="1"/>
      <c r="I48" s="1"/>
      <c r="J48" s="1"/>
      <c r="K48" s="1"/>
      <c r="L48" s="1"/>
      <c r="M48" s="1"/>
      <c r="N48" s="1"/>
      <c r="O48" s="1"/>
      <c r="P48" s="1"/>
      <c r="R48" t="s">
        <v>162</v>
      </c>
      <c r="S48">
        <f>IF(OR('US MDM-5000'!E45&gt;Data!$AF$6,'US MDM-5000'!G45&gt;Data!$AF$6,'US MDM-5000'!I45&gt;Data!$AF$6,'US MDM-5000'!D45&gt;Data!$AF$6,'US MDM-5000'!F45&gt;Data!$AF$6,'US MDM-5000'!H45&gt;Data!$AF$6),1,0)</f>
        <v>0</v>
      </c>
      <c r="T48">
        <f>IF(OR('US MDM-5000'!E45&gt;Data!$AG$6,'US MDM-5000'!G45&gt;Data!$AG$6,'US MDM-5000'!I45&gt;Data!$AG$6,'US MDM-5000'!D45&gt;Data!$AG$6,'US MDM-5000'!F45&gt;Data!$AG$6,'US MDM-5000'!H45&gt;Data!$AG$6),1,0)</f>
        <v>0</v>
      </c>
      <c r="V48" s="623"/>
      <c r="Z48" s="94"/>
    </row>
    <row r="49" spans="1:30" x14ac:dyDescent="0.2">
      <c r="A49" s="1"/>
      <c r="B49" s="10" t="s">
        <v>203</v>
      </c>
      <c r="C49" s="1"/>
      <c r="D49" s="560" t="s">
        <v>297</v>
      </c>
      <c r="E49" s="561"/>
      <c r="F49" s="553" t="s">
        <v>298</v>
      </c>
      <c r="G49" s="561"/>
      <c r="H49" s="553" t="s">
        <v>299</v>
      </c>
      <c r="I49" s="561"/>
      <c r="J49" s="553" t="s">
        <v>300</v>
      </c>
      <c r="K49" s="561"/>
      <c r="L49" s="553" t="s">
        <v>301</v>
      </c>
      <c r="M49" s="561"/>
      <c r="N49" s="553" t="s">
        <v>302</v>
      </c>
      <c r="O49" s="554"/>
      <c r="P49" s="1"/>
      <c r="R49" t="s">
        <v>201</v>
      </c>
      <c r="S49">
        <f>IF(OR('US MDM-5000'!D57&gt;Data!$AF$7,'US MDM-5000'!F57&gt;Data!$AF$7,'US MDM-5000'!H57&gt;Data!$AF$7,'US MDM-5000'!J57&gt;Data!$AF$7,'US MDM-5000'!L57&gt;Data!$AF$7,'US MDM-5000'!N57&gt;Data!$AF$7),1,0)</f>
        <v>0</v>
      </c>
      <c r="T49">
        <f>IF(OR('US MDM-5000'!D57&gt;Data!$AG$7,'US MDM-5000'!F57&gt;Data!$AG$7,'US MDM-5000'!H57&gt;Data!$AG$7,'US MDM-5000'!J57&gt;Data!$AG$7,'US MDM-5000'!L57&gt;Data!$AG$7,'US MDM-5000'!N57&gt;Data!$AG$7),1,0)</f>
        <v>0</v>
      </c>
      <c r="V49" s="623"/>
      <c r="W49" t="str">
        <f>IMSUM(Y53,W52)</f>
        <v>35.2666666666666</v>
      </c>
      <c r="X49" t="str">
        <f>IMSUM(X52,W53)</f>
        <v>-17.6333333333333-30.5418292401312i</v>
      </c>
      <c r="Y49" t="str">
        <f>IMSUM(X53,Y52)</f>
        <v>-17.6333333333333+30.5418292401312i</v>
      </c>
      <c r="Z49" s="94"/>
      <c r="AA49" t="str">
        <f>IMSUM(AA52,AC53)</f>
        <v>36.0333333333334</v>
      </c>
      <c r="AB49" t="str">
        <f>IMSUM(AB52,AA53)</f>
        <v>-18.0166666666667-31.2057820496992i</v>
      </c>
      <c r="AC49" t="str">
        <f>IMSUM(AC52,AB53)</f>
        <v>-18.0166666666667+31.2057820496992i</v>
      </c>
    </row>
    <row r="50" spans="1:30" x14ac:dyDescent="0.2">
      <c r="A50" s="1"/>
      <c r="B50" s="99" t="s">
        <v>303</v>
      </c>
      <c r="C50" s="1"/>
      <c r="D50" s="626" t="s">
        <v>304</v>
      </c>
      <c r="E50" s="624"/>
      <c r="F50" s="624" t="s">
        <v>304</v>
      </c>
      <c r="G50" s="624"/>
      <c r="H50" s="624" t="s">
        <v>304</v>
      </c>
      <c r="I50" s="624"/>
      <c r="J50" s="624" t="s">
        <v>304</v>
      </c>
      <c r="K50" s="624"/>
      <c r="L50" s="624" t="s">
        <v>304</v>
      </c>
      <c r="M50" s="624"/>
      <c r="N50" s="624" t="s">
        <v>304</v>
      </c>
      <c r="O50" s="624"/>
      <c r="P50" s="1"/>
      <c r="V50" s="94"/>
      <c r="Z50" s="90"/>
    </row>
    <row r="51" spans="1:30" x14ac:dyDescent="0.2">
      <c r="A51" s="1"/>
      <c r="B51" s="23" t="s">
        <v>205</v>
      </c>
      <c r="C51" s="1"/>
      <c r="D51" s="32" t="s">
        <v>236</v>
      </c>
      <c r="E51" s="33">
        <v>8</v>
      </c>
      <c r="F51" s="34" t="s">
        <v>236</v>
      </c>
      <c r="G51" s="33">
        <v>8</v>
      </c>
      <c r="H51" s="34" t="s">
        <v>236</v>
      </c>
      <c r="I51" s="33">
        <v>8</v>
      </c>
      <c r="J51" s="34" t="s">
        <v>237</v>
      </c>
      <c r="K51" s="33">
        <v>4</v>
      </c>
      <c r="L51" s="34" t="s">
        <v>237</v>
      </c>
      <c r="M51" s="33">
        <v>4</v>
      </c>
      <c r="N51" s="34" t="s">
        <v>237</v>
      </c>
      <c r="O51" s="35">
        <v>4</v>
      </c>
      <c r="P51" s="1"/>
      <c r="R51" t="s">
        <v>202</v>
      </c>
      <c r="S51">
        <f>IF(OR('US MDM-5000'!D59&gt;Data!$AF$8,'US MDM-5000'!F59&gt;Data!$AF$8,'US MDM-5000'!H59&gt;Data!$AF$8,'US MDM-5000'!J59&gt;Data!$AF$8,'US MDM-5000'!L59&gt;Data!$AF$8,'US MDM-5000'!N59&gt;Data!$AF$8),1,0)</f>
        <v>0</v>
      </c>
      <c r="V51" s="625" t="s">
        <v>305</v>
      </c>
      <c r="W51" t="str">
        <f>IMSUM(Y62,W61)</f>
        <v>23</v>
      </c>
      <c r="X51" t="str">
        <f>IMSUM(X61,W62)</f>
        <v>-11.5-19.9185842870421i</v>
      </c>
      <c r="Y51" t="str">
        <f>IMSUM(X62,Y61)</f>
        <v>-11.5+19.9185842870421i</v>
      </c>
      <c r="Z51" s="94"/>
      <c r="AA51" t="str">
        <f>IMSUM(AA61,AC62)</f>
        <v>19.1666666666667</v>
      </c>
      <c r="AB51" t="str">
        <f>IMSUM(AB61,AA62)</f>
        <v>-9.58333333333333-16.5988202392017i</v>
      </c>
      <c r="AC51" t="str">
        <f>IMSUM(AC61,AB62)</f>
        <v>-9.58333333333333+16.5988202392017i</v>
      </c>
    </row>
    <row r="52" spans="1:30" x14ac:dyDescent="0.2">
      <c r="A52" s="1"/>
      <c r="B52" s="23" t="s">
        <v>205</v>
      </c>
      <c r="C52" s="1"/>
      <c r="D52" s="36" t="s">
        <v>127</v>
      </c>
      <c r="E52" s="33">
        <v>0</v>
      </c>
      <c r="F52" s="37" t="s">
        <v>127</v>
      </c>
      <c r="G52" s="33">
        <v>0</v>
      </c>
      <c r="H52" s="37" t="s">
        <v>127</v>
      </c>
      <c r="I52" s="33">
        <v>0</v>
      </c>
      <c r="J52" s="37" t="s">
        <v>127</v>
      </c>
      <c r="K52" s="33">
        <v>0</v>
      </c>
      <c r="L52" s="37" t="s">
        <v>127</v>
      </c>
      <c r="M52" s="33">
        <v>0</v>
      </c>
      <c r="N52" s="37" t="s">
        <v>127</v>
      </c>
      <c r="O52" s="35">
        <v>0</v>
      </c>
      <c r="P52" s="1"/>
      <c r="R52" t="s">
        <v>204</v>
      </c>
      <c r="S52">
        <f>IF(OR('US MDM-5000'!D65&gt;Data!$AF$13,'US MDM-5000'!F65&gt;Data!$AF$13,'US MDM-5000'!H65&gt;Data!$AF$13,'US MDM-5000'!J65&gt;Data!$AF$13,'US MDM-5000'!L65&gt;Data!$AF$13,'US MDM-5000'!N65&gt;Data!$AF$13),1,0)</f>
        <v>0</v>
      </c>
      <c r="V52" s="625"/>
      <c r="W52" t="str">
        <f>IF(D50="On",COMPLEX((D58*COS(RADIANS(30))),(D58*SIN(RADIANS(30)))),COMPLEX((0*COS(RADIANS(30))),(0*SIN(RADIANS(30)))))</f>
        <v>17.6333333333333+10.1806097467104i</v>
      </c>
      <c r="X52" t="str">
        <f>IF(F50="On",COMPLEX((F58*COS(RADIANS(-90))),(F58*SIN(RADIANS(-90)))),COMPLEX((0*COS(RADIANS(-90))),(0*SIN(RADIANS(-90)))))</f>
        <v>1.24727583012099E-15-20.3612194934208i</v>
      </c>
      <c r="Y52" t="str">
        <f>IF(H50="On",COMPLEX((H58*COS(RADIANS(150))),(H58*SIN(RADIANS(150)))),COMPLEX((0*COS(RADIANS(150))),(0*SIN(RADIANS(150)))))</f>
        <v>-17.6333333333333+10.1806097467104i</v>
      </c>
      <c r="Z52" s="94" t="s">
        <v>306</v>
      </c>
      <c r="AA52" t="str">
        <f>IF(J50="On",COMPLEX(J58*COS(RADIANS(30)),J58*SIN(RADIANS(30))),COMPLEX(0*COS(RADIANS(30)),0*SIN(RADIANS(30))))</f>
        <v>18.0166666666667+10.4019273498997i</v>
      </c>
      <c r="AB52" t="str">
        <f>IF(L50="On",COMPLEX(L58*COS(RADIANS(-90)),L58*SIN(RADIANS(-90))),COMPLEX(0*COS(RADIANS(-90)),0*SIN(RADIANS(-90))))</f>
        <v>1.27439052208014E-15-20.8038546997995i</v>
      </c>
      <c r="AC52" t="str">
        <f>IF(N50="On",COMPLEX(N58*COS(RADIANS(150)),N58*SIN(RADIANS(150))),COMPLEX(0*COS(RADIANS(150)),0*SIN(RADIANS(150))))</f>
        <v>-18.0166666666667+10.4019273498997i</v>
      </c>
    </row>
    <row r="53" spans="1:30" x14ac:dyDescent="0.2">
      <c r="A53" s="1"/>
      <c r="B53" s="23" t="s">
        <v>121</v>
      </c>
      <c r="C53" s="1"/>
      <c r="D53" s="38">
        <v>100</v>
      </c>
      <c r="E53" s="29" t="s">
        <v>307</v>
      </c>
      <c r="F53" s="39">
        <v>100</v>
      </c>
      <c r="G53" s="29" t="s">
        <v>307</v>
      </c>
      <c r="H53" s="39">
        <v>100</v>
      </c>
      <c r="I53" s="29" t="s">
        <v>307</v>
      </c>
      <c r="J53" s="39">
        <v>100</v>
      </c>
      <c r="K53" s="29" t="s">
        <v>307</v>
      </c>
      <c r="L53" s="39">
        <v>100</v>
      </c>
      <c r="M53" s="29" t="s">
        <v>307</v>
      </c>
      <c r="N53" s="39">
        <v>100</v>
      </c>
      <c r="O53" s="28" t="s">
        <v>307</v>
      </c>
      <c r="P53" s="1"/>
      <c r="W53" t="str">
        <f>IF(D50="On",COMPLEX(-(D58*COS(RADIANS(30))),-(D58*SIN(RADIANS(30)))),COMPLEX(-(0*COS(RADIANS(30))),-(0*SIN(RADIANS(30)))))</f>
        <v>-17.6333333333333-10.1806097467104i</v>
      </c>
      <c r="X53" t="str">
        <f>IF(F50="On",COMPLEX(-(F58*COS(RADIANS(-90))),-(F58*SIN(RADIANS(-90)))),COMPLEX(-(0*COS(RADIANS(-90))),-(0*SIN(RADIANS(-90)))))</f>
        <v>-1.24727583012099E-15+20.3612194934208i</v>
      </c>
      <c r="Y53" t="str">
        <f>IF(H50="On",COMPLEX(-(H58*COS(RADIANS(150))),-(H58*SIN(RADIANS(150)))),COMPLEX(-(0*COS(RADIANS(150))),-(0*SIN(RADIANS(150)))))</f>
        <v>17.6333333333333-10.1806097467104i</v>
      </c>
      <c r="Z53" s="96" t="s">
        <v>308</v>
      </c>
      <c r="AA53" t="str">
        <f>IF(J50="On",COMPLEX(-(J58*COS(RADIANS(30))),-(J58*SIN(RADIANS(30)))),COMPLEX(-(0*COS(RADIANS(30))),-(0*SIN(RADIANS(30)))))</f>
        <v>-18.0166666666667-10.4019273498997i</v>
      </c>
      <c r="AB53" t="str">
        <f>IF(L50="On",COMPLEX(-(L58*COS(RADIANS(-90))),-(L58*SIN(RADIANS(-90)))),COMPLEX(-(0*COS(RADIANS(-90))),-(0*SIN(RADIANS(-90)))))</f>
        <v>-1.27439052208014E-15+20.8038546997995i</v>
      </c>
      <c r="AC53" t="str">
        <f>IF(N50="On",COMPLEX(-(N58*COS(RADIANS(150))),-(N58*SIN(RADIANS(150)))),COMPLEX(-(0*COS(RADIANS(150))),-(0*SIN(RADIANS(150)))))</f>
        <v>18.0166666666667-10.4019273498997i</v>
      </c>
    </row>
    <row r="54" spans="1:30" ht="11" customHeight="1" x14ac:dyDescent="0.2">
      <c r="A54" s="1"/>
      <c r="B54" s="2"/>
      <c r="C54" s="1"/>
      <c r="D54" s="555" t="s">
        <v>210</v>
      </c>
      <c r="E54" s="556"/>
      <c r="F54" s="556"/>
      <c r="G54" s="556"/>
      <c r="H54" s="556"/>
      <c r="I54" s="556"/>
      <c r="J54" s="557" t="s">
        <v>210</v>
      </c>
      <c r="K54" s="556"/>
      <c r="L54" s="556"/>
      <c r="M54" s="556"/>
      <c r="N54" s="556"/>
      <c r="O54" s="558"/>
      <c r="P54" s="1"/>
      <c r="R54" t="s">
        <v>208</v>
      </c>
      <c r="S54">
        <f>SUM(S48:S52)</f>
        <v>0</v>
      </c>
      <c r="T54">
        <f>SUM(T48:T49)</f>
        <v>0</v>
      </c>
      <c r="U54">
        <f>SUM(S54:T54)</f>
        <v>0</v>
      </c>
      <c r="Z54" s="94"/>
    </row>
    <row r="55" spans="1:30" ht="6" customHeight="1" x14ac:dyDescent="0.2">
      <c r="A55" s="1"/>
      <c r="B55" s="2"/>
      <c r="C55" s="1"/>
      <c r="D55" s="3"/>
      <c r="E55" s="4"/>
      <c r="F55" s="5"/>
      <c r="G55" s="4"/>
      <c r="H55" s="5"/>
      <c r="I55" s="4"/>
      <c r="J55" s="5"/>
      <c r="K55" s="4"/>
      <c r="L55" s="5"/>
      <c r="M55" s="4"/>
      <c r="N55" s="5"/>
      <c r="O55" s="6"/>
      <c r="P55" s="1"/>
      <c r="Z55" s="94"/>
    </row>
    <row r="56" spans="1:30" ht="20" customHeight="1" x14ac:dyDescent="0.2">
      <c r="A56" s="1"/>
      <c r="B56" s="23" t="s">
        <v>271</v>
      </c>
      <c r="C56" s="1"/>
      <c r="D56" s="19">
        <f>W56</f>
        <v>207.84609690826545</v>
      </c>
      <c r="E56" s="29" t="s">
        <v>309</v>
      </c>
      <c r="F56" s="20">
        <f>X56</f>
        <v>207.846096908265</v>
      </c>
      <c r="G56" s="29" t="s">
        <v>309</v>
      </c>
      <c r="H56" s="20">
        <f>Y56</f>
        <v>207.84609690826545</v>
      </c>
      <c r="I56" s="29" t="s">
        <v>309</v>
      </c>
      <c r="J56" s="20">
        <f>AA56</f>
        <v>207.84609690826545</v>
      </c>
      <c r="K56" s="29" t="s">
        <v>309</v>
      </c>
      <c r="L56" s="20">
        <f>AB56</f>
        <v>207.846096908265</v>
      </c>
      <c r="M56" s="29" t="s">
        <v>309</v>
      </c>
      <c r="N56" s="20">
        <f>AC56</f>
        <v>207.84609690826545</v>
      </c>
      <c r="O56" s="28" t="s">
        <v>309</v>
      </c>
      <c r="P56" s="1"/>
      <c r="V56" s="623" t="s">
        <v>104</v>
      </c>
      <c r="W56">
        <f>IMABS(W58)</f>
        <v>207.84609690826545</v>
      </c>
      <c r="X56">
        <f>IMABS(X58)</f>
        <v>207.846096908265</v>
      </c>
      <c r="Y56">
        <f>IMABS(Y58)</f>
        <v>207.84609690826545</v>
      </c>
      <c r="Z56" s="90" t="s">
        <v>293</v>
      </c>
      <c r="AA56">
        <f>IMABS(AA58)</f>
        <v>207.84609690826545</v>
      </c>
      <c r="AB56">
        <f>IMABS(AB58)</f>
        <v>207.846096908265</v>
      </c>
      <c r="AC56">
        <f>IMABS(AC58)</f>
        <v>207.84609690826545</v>
      </c>
    </row>
    <row r="57" spans="1:30" x14ac:dyDescent="0.2">
      <c r="A57" s="1"/>
      <c r="B57" s="23" t="s">
        <v>211</v>
      </c>
      <c r="C57" s="1"/>
      <c r="D57" s="12">
        <f>IF(D50="On",(((VLOOKUP($D51,Data!$R$4:$U$62,2,FALSE)*$E51)+(VLOOKUP($D52,Data!$R$4:$U$62,2,FALSE)*$E52))/$D56)*Data!$R$3,0)</f>
        <v>13.279056191361381</v>
      </c>
      <c r="E57" s="13" t="str">
        <f>IF(D57&gt;Data!$AF$7,"&lt;OVER",IF(D57&gt;Data!$AG$7,"&lt;Not UL","A RMS"))</f>
        <v>A RMS</v>
      </c>
      <c r="F57" s="14">
        <f>IF(F50="On",(((VLOOKUP($F51,Data!$R$4:$U$62,2,FALSE)*$G51)+(VLOOKUP($F52,Data!$R$4:$U$62,2,FALSE)*$G52))/$F56)*Data!$R$3,0)</f>
        <v>13.279056191361409</v>
      </c>
      <c r="G57" s="13" t="str">
        <f>IF(F57&gt;Data!$AF$7,"&lt;OVER",IF(F57&gt;Data!$AG$7,"&lt;Not UL","A RMS"))</f>
        <v>A RMS</v>
      </c>
      <c r="H57" s="14">
        <f>IF(H50="On",(((VLOOKUP($H51,Data!$R$4:$U$62,2,FALSE)*$I51)+(VLOOKUP($H52,Data!$R$4:$U$62,2,FALSE)*$I52))/H56)*Data!$R$3,0)</f>
        <v>13.279056191361381</v>
      </c>
      <c r="I57" s="13" t="str">
        <f>IF(H57&gt;Data!$AF$7,"&lt;OVER",IF(H57&gt;Data!$AG$7,"&lt;Not UL","A RMS"))</f>
        <v>A RMS</v>
      </c>
      <c r="J57" s="14">
        <f>IF(J50="On",(((VLOOKUP($J51,Data!$R$4:$U$62,2,FALSE)*$K51)+(VLOOKUP($J52,Data!$R$4:$U$62,2,FALSE)*$K52))/$J56)*Data!$R$3,0)</f>
        <v>11.065880159467818</v>
      </c>
      <c r="K57" s="13" t="str">
        <f>IF(J57&gt;Data!$AF$7,"&lt;OVER",IF(J57&gt;Data!$AG$7,"&lt;Not UL","A RMS"))</f>
        <v>A RMS</v>
      </c>
      <c r="L57" s="14">
        <f>IF(L50="On",(((VLOOKUP($L51,Data!$R$4:$U$62,2,FALSE)*$M51)+(VLOOKUP($L52,Data!$R$4:$U$62,2,FALSE)*$M52))/$L56)*Data!$R$3,0)</f>
        <v>11.065880159467842</v>
      </c>
      <c r="M57" s="13" t="str">
        <f>IF(L57&gt;Data!$AF$7,"&lt;OVER",IF(L57&gt;Data!$AG$7,"&lt;Not UL","A RMS"))</f>
        <v>A RMS</v>
      </c>
      <c r="N57" s="14">
        <f>IF(N50="On",(((VLOOKUP($N51,Data!$R$4:$U$62,2,FALSE)*$O51)+(VLOOKUP($N52,Data!$R$4:$U$62,2,FALSE)*$O52))/$N56)*Data!$R$3,0)</f>
        <v>11.065880159467818</v>
      </c>
      <c r="O57" s="15" t="str">
        <f>IF(N57&gt;Data!$AF$7,"&lt;OVER",IF(N57&gt;Data!$AG$7,"&lt;Not UL","A RMS"))</f>
        <v>A RMS</v>
      </c>
      <c r="P57" s="1"/>
      <c r="V57" s="623"/>
      <c r="W57">
        <f>DEGREES(IMARGUMENT(W58))</f>
        <v>30.000000000000085</v>
      </c>
      <c r="X57">
        <f>DEGREES(IMARGUMENT(X58))</f>
        <v>-90</v>
      </c>
      <c r="Y57">
        <f>DEGREES(IMARGUMENT(Y58))</f>
        <v>149.99999999999991</v>
      </c>
      <c r="Z57" s="90" t="s">
        <v>296</v>
      </c>
      <c r="AA57">
        <f>DEGREES(IMARGUMENT(AA58))</f>
        <v>30.000000000000085</v>
      </c>
      <c r="AB57">
        <f>DEGREES(IMARGUMENT(AB58))</f>
        <v>-90</v>
      </c>
      <c r="AC57">
        <f>DEGREES(IMARGUMENT(AC58))</f>
        <v>149.99999999999991</v>
      </c>
    </row>
    <row r="58" spans="1:30" x14ac:dyDescent="0.2">
      <c r="A58" s="1"/>
      <c r="B58" s="23" t="s">
        <v>199</v>
      </c>
      <c r="C58" s="1"/>
      <c r="D58" s="12">
        <f>IF(D50="On",(((VLOOKUP($D51,Data!$R$4:$U$62,3,FALSE)*$E51)+(VLOOKUP($D52,Data!$R$4:$U$62,3,FALSE)*$E52))/$D56)*Data!$R$3,0)</f>
        <v>20.361219493420784</v>
      </c>
      <c r="E58" s="13" t="s">
        <v>116</v>
      </c>
      <c r="F58" s="14">
        <f>IF(F50="On",(((VLOOKUP($F51,Data!$R$4:$U$62,3,FALSE)*$G51)+(VLOOKUP($F52,Data!$R$4:$U$62,3,FALSE)*$G52))/$F56)*Data!$R$3,0)</f>
        <v>20.36121949342083</v>
      </c>
      <c r="G58" s="13" t="s">
        <v>116</v>
      </c>
      <c r="H58" s="14">
        <f>IF(H50="On",(((VLOOKUP($H51,Data!$R$4:$U$62,3,FALSE)*$I51)+(VLOOKUP($H52,Data!$R$4:$U$62,3,FALSE)*$I52))/$H56)*Data!$R$3,0)</f>
        <v>20.361219493420784</v>
      </c>
      <c r="I58" s="13" t="s">
        <v>116</v>
      </c>
      <c r="J58" s="14">
        <f>IF(J50="On",(((VLOOKUP($J51,Data!$R$4:$U$62,3,FALSE)*$K51)+(VLOOKUP($J52,Data!$R$4:$U$62,3,FALSE)*$K52))/$J56)*Data!$R$3,0)</f>
        <v>20.803854699799498</v>
      </c>
      <c r="K58" s="13" t="s">
        <v>116</v>
      </c>
      <c r="L58" s="14">
        <f>IF(L50="On",(((VLOOKUP($L51,Data!$R$4:$U$62,3,FALSE)*$M51)+(VLOOKUP($L52,Data!$R$4:$U$62,3,FALSE)*$M52))/$L56)*Data!$R$3,0)</f>
        <v>20.803854699799544</v>
      </c>
      <c r="M58" s="13" t="s">
        <v>116</v>
      </c>
      <c r="N58" s="14">
        <f>IF(N50="On",(((VLOOKUP($N51,Data!$R$4:$U$62,3,FALSE)*$O51)+(VLOOKUP($N52,Data!$R$4:$U$62,3,FALSE)*$O52))/$N56)*Data!$R$3,0)</f>
        <v>20.803854699799498</v>
      </c>
      <c r="O58" s="15" t="s">
        <v>116</v>
      </c>
      <c r="P58" s="1"/>
      <c r="V58" s="623"/>
      <c r="W58" t="str">
        <f>COMPLEX((W42-X42),(W43-X43))</f>
        <v>180+103.923048454133i</v>
      </c>
      <c r="X58" t="str">
        <f>COMPLEX(X42-Y42,X43-Y43)</f>
        <v>-207.846096908265i</v>
      </c>
      <c r="Y58" t="str">
        <f>COMPLEX(Y42-W42,Y43-W43)</f>
        <v>-180+103.923048454133i</v>
      </c>
      <c r="Z58" s="94" t="s">
        <v>306</v>
      </c>
      <c r="AA58" t="str">
        <f>COMPLEX(AA42-AB42,AA43-AB43)</f>
        <v>180+103.923048454133i</v>
      </c>
      <c r="AB58" t="str">
        <f>COMPLEX(AB42-AC42,AB43-AC43)</f>
        <v>-207.846096908265i</v>
      </c>
      <c r="AC58" t="str">
        <f>COMPLEX(AC42-AA42,AC43-AA43)</f>
        <v>-180+103.923048454133i</v>
      </c>
    </row>
    <row r="59" spans="1:30" x14ac:dyDescent="0.2">
      <c r="A59" s="1"/>
      <c r="B59" s="23" t="s">
        <v>200</v>
      </c>
      <c r="C59" s="1"/>
      <c r="D59" s="12">
        <f>IF(D50="On",(((VLOOKUP($D51,Data!$R$4:$U$62,4,FALSE)*$E51)+(VLOOKUP($D52,Data!$R$4:$U$62,4,FALSE)*$E52))/$D56)*Data!$R$3,0)</f>
        <v>55.772036003717801</v>
      </c>
      <c r="E59" s="13" t="str">
        <f>IF(D59&gt;Data!$AF$8,"&lt;OVER!","A Pk")</f>
        <v>A Pk</v>
      </c>
      <c r="F59" s="14">
        <f>IF(F50="On",(((VLOOKUP($F51,Data!$R$4:$U$62,4,FALSE)*$G51)+(VLOOKUP($F52,Data!$R$4:$U$62,4,FALSE)*$G52))/$F56)*Data!$R$3,0)</f>
        <v>55.772036003717922</v>
      </c>
      <c r="G59" s="13" t="str">
        <f>IF(F59&gt;Data!$AF$8,"&lt;OVER!","A Pk")</f>
        <v>A Pk</v>
      </c>
      <c r="H59" s="14">
        <f>IF(H50="On",(((VLOOKUP($H51,Data!$R$4:$U$62,4,FALSE)*$I51)+(VLOOKUP($H52,Data!$R$4:$U$62,4,FALSE)*$I52))/$H56)*Data!$R$3,)</f>
        <v>55.772036003717801</v>
      </c>
      <c r="I59" s="13" t="str">
        <f>IF(H59&gt;Data!$AF$8,"&lt;OVER!","A Pk")</f>
        <v>A Pk</v>
      </c>
      <c r="J59" s="14">
        <f>IF(J50="On",(((VLOOKUP($J51,Data!$R$4:$U$62,4,FALSE)*$K51)+(VLOOKUP($J52,Data!$R$4:$U$62,4,FALSE)*$K52))/$J56)*Data!$R$3,0)</f>
        <v>40.722438986841567</v>
      </c>
      <c r="K59" s="13" t="str">
        <f>IF(J59&gt;Data!$AF$8,"&lt;OVER!","A Pk")</f>
        <v>A Pk</v>
      </c>
      <c r="L59" s="14">
        <f>IF(L50="On",(((VLOOKUP($L51,Data!$R$4:$U$62,4,FALSE)*$M51)+(VLOOKUP($L52,Data!$R$4:$U$62,4,FALSE)*$M52))/$L56)*Data!$R$3,0)</f>
        <v>40.722438986841659</v>
      </c>
      <c r="M59" s="13" t="str">
        <f>IF(L59&gt;Data!$AF$8,"&lt;OVER!","A Pk")</f>
        <v>A Pk</v>
      </c>
      <c r="N59" s="14">
        <f>IF(N50="On",(((VLOOKUP($N51,Data!$R$4:$U$62,4,FALSE)*$O51)+(VLOOKUP($N52,Data!$R$4:$U$62,4,FALSE)*$O52))/$N56)*Data!$R$3,0)</f>
        <v>40.722438986841567</v>
      </c>
      <c r="O59" s="15" t="str">
        <f>IF(N59&gt;Data!$AF$8,"&lt;OVER!","A Pk")</f>
        <v>A Pk</v>
      </c>
      <c r="P59" s="1"/>
      <c r="V59" s="623" t="s">
        <v>310</v>
      </c>
      <c r="W59" s="93"/>
      <c r="X59" s="93"/>
      <c r="Y59" s="93"/>
      <c r="Z59" s="94"/>
      <c r="AA59" s="93"/>
      <c r="AB59" s="93"/>
      <c r="AC59" s="93"/>
    </row>
    <row r="60" spans="1:30" ht="6" customHeight="1" x14ac:dyDescent="0.2">
      <c r="A60" s="1"/>
      <c r="B60" s="23"/>
      <c r="C60" s="1"/>
      <c r="D60" s="12"/>
      <c r="E60" s="16"/>
      <c r="F60" s="14"/>
      <c r="G60" s="16"/>
      <c r="H60" s="14"/>
      <c r="I60" s="16"/>
      <c r="J60" s="14"/>
      <c r="K60" s="16"/>
      <c r="L60" s="14"/>
      <c r="M60" s="16"/>
      <c r="N60" s="14"/>
      <c r="O60" s="15"/>
      <c r="P60" s="1"/>
      <c r="V60" s="623"/>
      <c r="Z60" s="94"/>
    </row>
    <row r="61" spans="1:30" x14ac:dyDescent="0.2">
      <c r="A61" s="1"/>
      <c r="B61" s="23" t="s">
        <v>212</v>
      </c>
      <c r="C61" s="1"/>
      <c r="D61" s="17">
        <f>(17*(10^-8))*(((2*D53)/3.280839895)/(((PI()/4)*((0.127*(92^((36-O42)/39)))^2))*(10^-5)))</f>
        <v>0.31320372803044888</v>
      </c>
      <c r="E61" s="16" t="s">
        <v>213</v>
      </c>
      <c r="F61" s="18">
        <f>(17*(10^-8))*(((2*F53)/3.280839895)/(((PI()/4)*((0.127*(92^((36-O42)/39)))^2))*(10^-5)))</f>
        <v>0.31320372803044888</v>
      </c>
      <c r="G61" s="16" t="s">
        <v>213</v>
      </c>
      <c r="H61" s="18">
        <f>(17*(10^-8))*(((2*H53)/3.280839895)/(((PI()/4)*((0.127*(92^((36-O42)/39)))^2))*(10^-5)))</f>
        <v>0.31320372803044888</v>
      </c>
      <c r="I61" s="16" t="s">
        <v>213</v>
      </c>
      <c r="J61" s="18">
        <f>(17*(10^-8))*(((2*J53)/3.280839895)/(((PI()/4)*((0.127*(92^((36-O42)/39)))^2))*(10^-5)))</f>
        <v>0.31320372803044888</v>
      </c>
      <c r="K61" s="16" t="s">
        <v>213</v>
      </c>
      <c r="L61" s="18">
        <f>(17*(10^-8))*(((2*L53)/3.280839895)/(((PI()/4)*((0.127*(92^((36-O42)/39)))^2))*(10^-5)))</f>
        <v>0.31320372803044888</v>
      </c>
      <c r="M61" s="16" t="s">
        <v>213</v>
      </c>
      <c r="N61" s="18">
        <f>(17*(10^-8))*(((2*N53)/3.280839895)/(((PI()/4)*((0.127*(92^((36-O42)/39)))^2))*(10^-5)))</f>
        <v>0.31320372803044888</v>
      </c>
      <c r="O61" s="15" t="s">
        <v>213</v>
      </c>
      <c r="P61" s="1"/>
      <c r="V61" s="623"/>
      <c r="W61" t="str">
        <f>IF(D50="On",COMPLEX((D57*COS(RADIANS(30))),(D57*SIN(RADIANS(30)))),COMPLEX((0*COS(RADIANS(30))),(0*SIN(RADIANS(30)))))</f>
        <v>11.5+6.63952809568069i</v>
      </c>
      <c r="X61" t="str">
        <f>IF(F50="On",COMPLEX((F57*COS(RADIANS(-90))),(F57*SIN(RADIANS(-90)))),COMPLEX((0*COS(RADIANS(-90))),(0*SIN(RADIANS(-90)))))</f>
        <v>8.13440758774559E-16-13.2790561913614i</v>
      </c>
      <c r="Y61" t="str">
        <f>IF(H50="On",COMPLEX((H57*COS(RADIANS(150))),(H57*SIN(RADIANS(150)))),COMPLEX((0*COS(RADIANS(150))),(0*SIN(RADIANS(150)))))</f>
        <v>-11.5+6.63952809568069i</v>
      </c>
      <c r="Z61" s="94" t="s">
        <v>306</v>
      </c>
      <c r="AA61" t="str">
        <f>IF(J50="On",COMPLEX(J57*COS(RADIANS(30)),J57*SIN(RADIANS(30))),COMPLEX(0*COS(RADIANS(30)),0*SIN(RADIANS(30))))</f>
        <v>9.58333333333333+5.53294007973391i</v>
      </c>
      <c r="AB61" t="str">
        <f>IF(L50="On",COMPLEX(L57*COS(RADIANS(-90)),L57*SIN(RADIANS(-90))),COMPLEX(0*COS(RADIANS(-90)),0*SIN(RADIANS(-90))))</f>
        <v>6.77867298978799E-16-11.0658801594678i</v>
      </c>
      <c r="AC61" t="str">
        <f>IF(N50="On",COMPLEX(N57*COS(RADIANS(150)),N57*SIN(RADIANS(150))),COMPLEX(0*COS(RADIANS(150)),0*SIN(RADIANS(150))))</f>
        <v>-9.58333333333333+5.53294007973391i</v>
      </c>
    </row>
    <row r="62" spans="1:30" x14ac:dyDescent="0.2">
      <c r="A62" s="1"/>
      <c r="B62" s="23" t="s">
        <v>214</v>
      </c>
      <c r="C62" s="1"/>
      <c r="D62" s="19">
        <f>D56*SQRT(2)</f>
        <v>293.93876913398162</v>
      </c>
      <c r="E62" s="16" t="s">
        <v>215</v>
      </c>
      <c r="F62" s="20">
        <f>F56*SQRT(2)</f>
        <v>293.938769133981</v>
      </c>
      <c r="G62" s="16" t="s">
        <v>215</v>
      </c>
      <c r="H62" s="20">
        <f>H56*SQRT(2)</f>
        <v>293.93876913398162</v>
      </c>
      <c r="I62" s="16" t="s">
        <v>215</v>
      </c>
      <c r="J62" s="20">
        <f>J56*SQRT(2)</f>
        <v>293.93876913398162</v>
      </c>
      <c r="K62" s="16" t="s">
        <v>215</v>
      </c>
      <c r="L62" s="20">
        <f>L56*SQRT(2)</f>
        <v>293.938769133981</v>
      </c>
      <c r="M62" s="16" t="s">
        <v>215</v>
      </c>
      <c r="N62" s="20">
        <f>N56*SQRT(2)</f>
        <v>293.93876913398162</v>
      </c>
      <c r="O62" s="15" t="s">
        <v>215</v>
      </c>
      <c r="P62" s="1"/>
      <c r="V62" s="623"/>
      <c r="W62" t="str">
        <f>IF(D50="On",COMPLEX(-(D57*COS(RADIANS(30))),-(D57*SIN(RADIANS(30)))),COMPLEX(-(0*COS(RADIANS(30))),-(0*SIN(RADIANS(30)))))</f>
        <v>-11.5-6.63952809568069i</v>
      </c>
      <c r="X62" t="str">
        <f>IF(F50="On",COMPLEX(-(F57*COS(RADIANS(-90))),-(F57*SIN(RADIANS(-90)))),COMPLEX(-(0*COS(RADIANS(-90))),-(0*SIN(RADIANS(-90)))))</f>
        <v>-8.13440758774559E-16+13.2790561913614i</v>
      </c>
      <c r="Y62" t="str">
        <f>IF(H50="On",COMPLEX(-(H57*COS(RADIANS(150))),-(H57*SIN(RADIANS(150)))),COMPLEX(-(0*COS(RADIANS(150))),-(0*SIN(RADIANS(150)))))</f>
        <v>11.5-6.63952809568069i</v>
      </c>
      <c r="Z62" s="96" t="s">
        <v>308</v>
      </c>
      <c r="AA62" t="str">
        <f>IF(J50="On",COMPLEX(-(J57*COS(RADIANS(30))),-(J57*SIN(RADIANS(30)))),COMPLEX(-(0*COS(RADIANS(30))),-(0*SIN(RADIANS(30)))))</f>
        <v>-9.58333333333333-5.53294007973391i</v>
      </c>
      <c r="AB62" t="str">
        <f>IF(L50="On",COMPLEX(-(L57*COS(RADIANS(-90))),-(L57*SIN(RADIANS(-90)))),COMPLEX(-(0*COS(RADIANS(-90))),-(0*SIN(RADIANS(-90)))))</f>
        <v>-6.77867298978799E-16+11.0658801594678i</v>
      </c>
      <c r="AC62" t="str">
        <f>IF(N50="On",COMPLEX(-(N57*COS(RADIANS(150))),-(N57*SIN(RADIANS(150)))),COMPLEX(-(0*COS(RADIANS(150))),-(0*SIN(RADIANS(150)))))</f>
        <v>9.58333333333333-5.53294007973391i</v>
      </c>
    </row>
    <row r="63" spans="1:30" x14ac:dyDescent="0.2">
      <c r="A63" s="1"/>
      <c r="B63" s="23" t="s">
        <v>223</v>
      </c>
      <c r="C63" s="1"/>
      <c r="D63" s="12">
        <f>D59*D61</f>
        <v>17.468009596212834</v>
      </c>
      <c r="E63" s="16" t="s">
        <v>215</v>
      </c>
      <c r="F63" s="14">
        <f>F59*F61</f>
        <v>17.46800959621287</v>
      </c>
      <c r="G63" s="16" t="s">
        <v>215</v>
      </c>
      <c r="H63" s="14">
        <f>H59*H61</f>
        <v>17.468009596212834</v>
      </c>
      <c r="I63" s="16" t="s">
        <v>215</v>
      </c>
      <c r="J63" s="14">
        <f>J59*J61</f>
        <v>12.754419705171275</v>
      </c>
      <c r="K63" s="16" t="s">
        <v>215</v>
      </c>
      <c r="L63" s="14">
        <f>L59*L61</f>
        <v>12.754419705171303</v>
      </c>
      <c r="M63" s="16" t="s">
        <v>215</v>
      </c>
      <c r="N63" s="14">
        <f>N59*N61</f>
        <v>12.754419705171275</v>
      </c>
      <c r="O63" s="15" t="s">
        <v>215</v>
      </c>
      <c r="P63" s="1"/>
      <c r="V63" s="623"/>
      <c r="Z63" s="90" t="s">
        <v>305</v>
      </c>
    </row>
    <row r="64" spans="1:30" x14ac:dyDescent="0.2">
      <c r="A64" s="1"/>
      <c r="B64" s="23" t="s">
        <v>225</v>
      </c>
      <c r="C64" s="1"/>
      <c r="D64" s="19">
        <f>D62-D63</f>
        <v>276.4707595377688</v>
      </c>
      <c r="E64" s="16" t="s">
        <v>215</v>
      </c>
      <c r="F64" s="20">
        <f>F62-F63</f>
        <v>276.47075953776812</v>
      </c>
      <c r="G64" s="16" t="s">
        <v>215</v>
      </c>
      <c r="H64" s="20">
        <f>H62-H63</f>
        <v>276.4707595377688</v>
      </c>
      <c r="I64" s="16" t="s">
        <v>215</v>
      </c>
      <c r="J64" s="20">
        <f>J62-J63</f>
        <v>281.18434942881032</v>
      </c>
      <c r="K64" s="16" t="s">
        <v>215</v>
      </c>
      <c r="L64" s="20">
        <f>L62-L63</f>
        <v>281.1843494288097</v>
      </c>
      <c r="M64" s="16" t="s">
        <v>215</v>
      </c>
      <c r="N64" s="20">
        <f>N62-N63</f>
        <v>281.18434942881032</v>
      </c>
      <c r="O64" s="15" t="s">
        <v>215</v>
      </c>
      <c r="P64" s="1"/>
      <c r="Q64" s="571" t="s">
        <v>315</v>
      </c>
      <c r="S64" s="89"/>
      <c r="T64" s="90" t="s">
        <v>166</v>
      </c>
      <c r="U64" s="90" t="s">
        <v>167</v>
      </c>
      <c r="V64" s="90" t="s">
        <v>168</v>
      </c>
      <c r="W64" s="90"/>
      <c r="X64" s="89"/>
      <c r="Y64" s="90" t="s">
        <v>217</v>
      </c>
      <c r="Z64" s="90" t="s">
        <v>218</v>
      </c>
      <c r="AA64" s="90" t="s">
        <v>219</v>
      </c>
      <c r="AB64" s="90" t="s">
        <v>220</v>
      </c>
      <c r="AC64" s="90" t="s">
        <v>221</v>
      </c>
      <c r="AD64" s="90" t="s">
        <v>222</v>
      </c>
    </row>
    <row r="65" spans="1:30" ht="17" thickBot="1" x14ac:dyDescent="0.25">
      <c r="A65" s="1"/>
      <c r="B65" s="24" t="s">
        <v>227</v>
      </c>
      <c r="C65" s="1"/>
      <c r="D65" s="141">
        <f>(D63*100)/D62</f>
        <v>5.9427375462168648</v>
      </c>
      <c r="E65" s="21" t="str">
        <f>IF(D65&gt;Data!$AF$13,"&lt;OVER!","% V Pk")</f>
        <v>% V Pk</v>
      </c>
      <c r="F65" s="142">
        <f>(F63*100)/F62</f>
        <v>5.9427375462168888</v>
      </c>
      <c r="G65" s="21" t="str">
        <f>IF(F65&gt;Data!$AF$13,"&lt;OVER!","% V Pk")</f>
        <v>% V Pk</v>
      </c>
      <c r="H65" s="142">
        <f>(H63*100)/H62</f>
        <v>5.9427375462168648</v>
      </c>
      <c r="I65" s="21" t="str">
        <f>IF(H65&gt;Data!$AF$13,"&lt;OVER!","% V Pk")</f>
        <v>% V Pk</v>
      </c>
      <c r="J65" s="142">
        <f>(J63*100)/J62</f>
        <v>4.3391417004123136</v>
      </c>
      <c r="K65" s="21" t="str">
        <f>IF(J65&gt;Data!$AF$13,"&lt;OVER!","% V Pk")</f>
        <v>% V Pk</v>
      </c>
      <c r="L65" s="142">
        <f>(L63*100)/L62</f>
        <v>4.3391417004123323</v>
      </c>
      <c r="M65" s="21" t="str">
        <f>IF(L65&gt;Data!$AF$13,"&lt;OVER!","% V Pk")</f>
        <v>% V Pk</v>
      </c>
      <c r="N65" s="142">
        <f>(N63*100)/N62</f>
        <v>4.3391417004123136</v>
      </c>
      <c r="O65" s="22" t="str">
        <f>IF(N65&gt;Data!$AF$13,"&lt;OVER!","% V Pk")</f>
        <v>% V Pk</v>
      </c>
      <c r="P65" s="1"/>
      <c r="Q65" s="571"/>
      <c r="S65" s="89" t="s">
        <v>224</v>
      </c>
      <c r="T65" s="90">
        <f>Data!$AF$6</f>
        <v>30</v>
      </c>
      <c r="U65" s="90">
        <f>Data!$AF$6</f>
        <v>30</v>
      </c>
      <c r="V65" s="90">
        <f>Data!$AF$6</f>
        <v>30</v>
      </c>
      <c r="W65" s="90"/>
      <c r="X65" s="89" t="s">
        <v>224</v>
      </c>
      <c r="Y65" s="90">
        <f>Data!$AF$7</f>
        <v>20</v>
      </c>
      <c r="Z65" s="90">
        <f>Data!$AF$7</f>
        <v>20</v>
      </c>
      <c r="AA65" s="90">
        <f>Data!$AF$7</f>
        <v>20</v>
      </c>
      <c r="AB65" s="90">
        <f>Data!$AF$7</f>
        <v>20</v>
      </c>
      <c r="AC65" s="90">
        <f>Data!$AF$7</f>
        <v>20</v>
      </c>
      <c r="AD65" s="90">
        <f>Data!$AF$7</f>
        <v>20</v>
      </c>
    </row>
    <row r="66" spans="1:30" x14ac:dyDescent="0.2">
      <c r="A66" s="1"/>
      <c r="B66" s="1"/>
      <c r="C66" s="1"/>
      <c r="D66" s="1"/>
      <c r="E66" s="1"/>
      <c r="F66" s="1"/>
      <c r="G66" s="1"/>
      <c r="H66" s="1"/>
      <c r="I66" s="1"/>
      <c r="J66" s="1"/>
      <c r="K66" s="1"/>
      <c r="L66" s="1"/>
      <c r="M66" s="1"/>
      <c r="N66" s="1"/>
      <c r="O66" s="1"/>
      <c r="P66" s="1"/>
      <c r="Q66" s="571"/>
      <c r="S66" s="89" t="s">
        <v>312</v>
      </c>
      <c r="T66" s="90">
        <f>Data!$AG$6</f>
        <v>24</v>
      </c>
      <c r="U66" s="90">
        <f>Data!$AG$6</f>
        <v>24</v>
      </c>
      <c r="V66" s="90">
        <f>Data!$AG$6</f>
        <v>24</v>
      </c>
      <c r="W66" s="90"/>
      <c r="X66" s="89" t="s">
        <v>312</v>
      </c>
      <c r="Y66" s="90">
        <f>Data!$AG$7</f>
        <v>16</v>
      </c>
      <c r="Z66" s="90">
        <f>Data!$AG$7</f>
        <v>16</v>
      </c>
      <c r="AA66" s="90">
        <f>Data!$AG$7</f>
        <v>16</v>
      </c>
      <c r="AB66" s="90">
        <f>Data!$AG$7</f>
        <v>16</v>
      </c>
      <c r="AC66" s="90">
        <f>Data!$AG$7</f>
        <v>16</v>
      </c>
      <c r="AD66" s="90">
        <f>Data!$AG$7</f>
        <v>16</v>
      </c>
    </row>
    <row r="67" spans="1:30" x14ac:dyDescent="0.2">
      <c r="A67" s="1"/>
      <c r="B67" s="1"/>
      <c r="C67" s="1"/>
      <c r="D67" s="1"/>
      <c r="E67" s="1"/>
      <c r="F67" s="1"/>
      <c r="G67" s="1"/>
      <c r="H67" s="1"/>
      <c r="I67" s="1"/>
      <c r="J67" s="1"/>
      <c r="K67" s="1"/>
      <c r="L67" s="1"/>
      <c r="M67" s="1"/>
      <c r="N67" s="1"/>
      <c r="O67" s="1"/>
      <c r="P67" s="1"/>
      <c r="Q67" s="571"/>
      <c r="S67" s="89" t="str">
        <f>'US MDM-5000'!B45</f>
        <v>MLTC A RMS</v>
      </c>
      <c r="T67" s="90">
        <f>'US MDM-5000'!D45</f>
        <v>23</v>
      </c>
      <c r="U67" s="90">
        <f>'US MDM-5000'!F45</f>
        <v>23.000000000000014</v>
      </c>
      <c r="V67" s="90">
        <f>'US MDM-5000'!H45</f>
        <v>19.166666666666629</v>
      </c>
      <c r="W67" s="90"/>
      <c r="X67" s="89" t="s">
        <v>226</v>
      </c>
      <c r="Y67" s="90">
        <f>Data!$AF$8</f>
        <v>80</v>
      </c>
      <c r="Z67" s="90">
        <f>Data!$AF$8</f>
        <v>80</v>
      </c>
      <c r="AA67" s="90">
        <f>Data!$AF$8</f>
        <v>80</v>
      </c>
      <c r="AB67" s="90">
        <f>Data!$AF$8</f>
        <v>80</v>
      </c>
      <c r="AC67" s="90">
        <f>Data!$AF$8</f>
        <v>80</v>
      </c>
      <c r="AD67" s="90">
        <f>Data!$AF$8</f>
        <v>80</v>
      </c>
    </row>
    <row r="68" spans="1:30" x14ac:dyDescent="0.2">
      <c r="A68" s="1"/>
      <c r="B68" s="1"/>
      <c r="C68" s="1"/>
      <c r="D68" s="1"/>
      <c r="E68" s="1"/>
      <c r="F68" s="1"/>
      <c r="G68" s="1"/>
      <c r="H68" s="1"/>
      <c r="I68" s="1"/>
      <c r="J68" s="1"/>
      <c r="K68" s="1"/>
      <c r="L68" s="1"/>
      <c r="M68" s="1"/>
      <c r="N68" s="1"/>
      <c r="O68" s="1"/>
      <c r="P68" s="1"/>
      <c r="Q68" s="571"/>
      <c r="S68" s="89" t="str">
        <f>'US MDM-5000'!B46</f>
        <v>Apparent Power</v>
      </c>
      <c r="T68" s="90">
        <f>'US MDM-5000'!D46</f>
        <v>4231.9999999999918</v>
      </c>
      <c r="U68" s="90">
        <f>'US MDM-5000'!F46</f>
        <v>4231.9999999999973</v>
      </c>
      <c r="V68" s="90">
        <f>'US MDM-5000'!H46</f>
        <v>4323.9999999999945</v>
      </c>
      <c r="W68" s="90"/>
      <c r="X68" s="89" t="str">
        <f>'US MDM-5000'!B57</f>
        <v>MLTC RMS</v>
      </c>
      <c r="Y68" s="91">
        <f>'US MDM-5000'!$D57</f>
        <v>13.279056191361381</v>
      </c>
      <c r="Z68" s="91">
        <f>'US MDM-5000'!F57</f>
        <v>13.279056191361409</v>
      </c>
      <c r="AA68" s="90">
        <f>'US MDM-5000'!H57</f>
        <v>13.279056191361381</v>
      </c>
      <c r="AB68" s="90">
        <f>'US MDM-5000'!J57</f>
        <v>11.065880159467818</v>
      </c>
      <c r="AC68" s="90">
        <f>'US MDM-5000'!L57</f>
        <v>11.065880159467842</v>
      </c>
      <c r="AD68" s="90">
        <f>'US MDM-5000'!N57</f>
        <v>11.065880159467818</v>
      </c>
    </row>
    <row r="69" spans="1:30" x14ac:dyDescent="0.2">
      <c r="A69" s="1"/>
      <c r="B69" s="1"/>
      <c r="C69" s="1"/>
      <c r="D69" s="1"/>
      <c r="E69" s="1"/>
      <c r="F69" s="1"/>
      <c r="G69" s="1"/>
      <c r="H69" s="1"/>
      <c r="I69" s="1"/>
      <c r="J69" s="1"/>
      <c r="K69" s="1"/>
      <c r="L69" s="1"/>
      <c r="M69" s="1"/>
      <c r="N69" s="1"/>
      <c r="O69" s="1"/>
      <c r="P69" s="1"/>
      <c r="Q69" s="571"/>
      <c r="S69" s="89" t="str">
        <f>'US MDM-5000'!B47</f>
        <v>Real Power</v>
      </c>
      <c r="T69" s="90">
        <f>'US MDM-5000'!D47</f>
        <v>2760</v>
      </c>
      <c r="U69" s="90">
        <f>'US MDM-5000'!F47</f>
        <v>2760.0000000000018</v>
      </c>
      <c r="V69" s="90">
        <f>'US MDM-5000'!H47</f>
        <v>2299.9999999999955</v>
      </c>
      <c r="W69" s="90"/>
      <c r="X69" s="89" t="str">
        <f>'US MDM-5000'!B58</f>
        <v>Burst RMS</v>
      </c>
      <c r="Y69" s="90">
        <f>'US MDM-5000'!D58</f>
        <v>20.361219493420784</v>
      </c>
      <c r="Z69" s="90">
        <f>'US MDM-5000'!F58</f>
        <v>20.36121949342083</v>
      </c>
      <c r="AA69" s="90">
        <f>'US MDM-5000'!H58</f>
        <v>20.361219493420784</v>
      </c>
      <c r="AB69" s="90">
        <f>'US MDM-5000'!J58</f>
        <v>20.803854699799498</v>
      </c>
      <c r="AC69" s="90">
        <f>'US MDM-5000'!L58</f>
        <v>20.803854699799544</v>
      </c>
      <c r="AD69" s="90">
        <f>'US MDM-5000'!N58</f>
        <v>20.803854699799498</v>
      </c>
    </row>
    <row r="70" spans="1:30" x14ac:dyDescent="0.2">
      <c r="A70" s="1"/>
      <c r="B70" s="1"/>
      <c r="C70" s="1"/>
      <c r="D70" s="1"/>
      <c r="E70" s="1"/>
      <c r="F70" s="1"/>
      <c r="G70" s="1"/>
      <c r="H70" s="1"/>
      <c r="I70" s="1"/>
      <c r="J70" s="1"/>
      <c r="K70" s="1"/>
      <c r="L70" s="1"/>
      <c r="M70" s="1"/>
      <c r="N70" s="1"/>
      <c r="O70" s="1"/>
      <c r="P70" s="1"/>
      <c r="Q70" s="571"/>
      <c r="S70" s="89"/>
      <c r="T70" s="90"/>
      <c r="U70" s="90"/>
      <c r="V70" s="90"/>
      <c r="W70" s="90"/>
      <c r="X70" s="89" t="str">
        <f>'US MDM-5000'!B59</f>
        <v>Max Inst Pk</v>
      </c>
      <c r="Y70" s="90">
        <f>'US MDM-5000'!D59</f>
        <v>55.772036003717801</v>
      </c>
      <c r="Z70" s="90">
        <f>'US MDM-5000'!F59</f>
        <v>55.772036003717922</v>
      </c>
      <c r="AA70" s="90">
        <f>'US MDM-5000'!H59</f>
        <v>55.772036003717801</v>
      </c>
      <c r="AB70" s="90">
        <f>'US MDM-5000'!J59</f>
        <v>40.722438986841567</v>
      </c>
      <c r="AC70" s="90">
        <f>'US MDM-5000'!L59</f>
        <v>40.722438986841659</v>
      </c>
      <c r="AD70" s="90">
        <f>'US MDM-5000'!N59</f>
        <v>40.722438986841567</v>
      </c>
    </row>
    <row r="71" spans="1:30" x14ac:dyDescent="0.2">
      <c r="A71" s="1"/>
      <c r="B71" s="1"/>
      <c r="C71" s="1"/>
      <c r="D71" s="1"/>
      <c r="E71" s="1"/>
      <c r="F71" s="1"/>
      <c r="G71" s="1"/>
      <c r="H71" s="1"/>
      <c r="I71" s="1"/>
      <c r="J71" s="1"/>
      <c r="K71" s="1"/>
      <c r="L71" s="1"/>
      <c r="M71" s="1"/>
      <c r="N71" s="1"/>
      <c r="O71" s="1"/>
      <c r="P71" s="1"/>
      <c r="Q71" s="571"/>
      <c r="S71" s="89"/>
      <c r="T71" s="90"/>
      <c r="U71" s="90"/>
      <c r="V71" s="90"/>
      <c r="W71" s="90"/>
      <c r="X71" s="89"/>
      <c r="Y71" s="90"/>
      <c r="Z71" s="90"/>
      <c r="AA71" s="90"/>
      <c r="AB71" s="90"/>
      <c r="AC71" s="90"/>
      <c r="AD71" s="90"/>
    </row>
    <row r="72" spans="1:30" x14ac:dyDescent="0.2">
      <c r="A72" s="1"/>
      <c r="B72" s="1"/>
      <c r="C72" s="1"/>
      <c r="D72" s="1"/>
      <c r="E72" s="1"/>
      <c r="F72" s="1"/>
      <c r="G72" s="1"/>
      <c r="H72" s="1"/>
      <c r="I72" s="1"/>
      <c r="J72" s="1"/>
      <c r="K72" s="1"/>
      <c r="L72" s="1"/>
      <c r="M72" s="1"/>
      <c r="N72" s="1"/>
      <c r="O72" s="1"/>
      <c r="P72" s="1"/>
      <c r="Q72" s="571"/>
      <c r="S72" s="89" t="s">
        <v>228</v>
      </c>
      <c r="T72" s="90">
        <f>IF(T67&lt;=T66,(100*T67)/T65,100*T66/T65)</f>
        <v>76.666666666666671</v>
      </c>
      <c r="U72" s="90">
        <f>IF(U67&lt;=U66,(100*U67)/U65,100*U66/U65)</f>
        <v>76.666666666666714</v>
      </c>
      <c r="V72" s="90">
        <f>IF(V67&lt;=V66,(100*V67)/V65,100*V66/V65)</f>
        <v>63.888888888888765</v>
      </c>
      <c r="W72" s="90"/>
      <c r="X72" s="89" t="s">
        <v>228</v>
      </c>
      <c r="Y72" s="90">
        <f t="shared" ref="Y72:AD72" si="9">IF(Y68&lt;=Y66,(100*Y68)/Y65,100*Y66/Y65)</f>
        <v>66.3952809568069</v>
      </c>
      <c r="Z72" s="90">
        <f t="shared" si="9"/>
        <v>66.395280956807056</v>
      </c>
      <c r="AA72" s="90">
        <f t="shared" si="9"/>
        <v>66.3952809568069</v>
      </c>
      <c r="AB72" s="90">
        <f t="shared" si="9"/>
        <v>55.32940079733909</v>
      </c>
      <c r="AC72" s="90">
        <f t="shared" si="9"/>
        <v>55.329400797339211</v>
      </c>
      <c r="AD72" s="90">
        <f t="shared" si="9"/>
        <v>55.32940079733909</v>
      </c>
    </row>
    <row r="73" spans="1:30" x14ac:dyDescent="0.2">
      <c r="A73" s="1"/>
      <c r="B73" s="1"/>
      <c r="C73" s="1"/>
      <c r="D73" s="1"/>
      <c r="E73" s="1"/>
      <c r="F73" s="1"/>
      <c r="G73" s="1"/>
      <c r="H73" s="1"/>
      <c r="I73" s="1"/>
      <c r="J73" s="1"/>
      <c r="K73" s="1"/>
      <c r="L73" s="1"/>
      <c r="M73" s="1"/>
      <c r="N73" s="1"/>
      <c r="O73" s="1"/>
      <c r="P73" s="1"/>
      <c r="Q73" s="571"/>
      <c r="S73" s="89" t="s">
        <v>313</v>
      </c>
      <c r="T73">
        <f>IF(T67&lt;=T66,0,((100*T67)/T65)-T72)</f>
        <v>0</v>
      </c>
      <c r="U73">
        <f>IF(U67&lt;=U66,0,((100*U67)/U65)-U72)</f>
        <v>0</v>
      </c>
      <c r="V73">
        <f>IF(V67&lt;=V66,0,((100*V67)/V65)-V72)</f>
        <v>0</v>
      </c>
      <c r="W73" s="90"/>
      <c r="X73" s="89" t="s">
        <v>313</v>
      </c>
      <c r="Y73" s="90">
        <f t="shared" ref="Y73:AD73" si="10">IF(Y68&lt;=Y66,0,((100*Y68)/Y65)-Y72)</f>
        <v>0</v>
      </c>
      <c r="Z73" s="90">
        <f t="shared" si="10"/>
        <v>0</v>
      </c>
      <c r="AA73" s="90">
        <f t="shared" si="10"/>
        <v>0</v>
      </c>
      <c r="AB73" s="90">
        <f t="shared" si="10"/>
        <v>0</v>
      </c>
      <c r="AC73" s="90">
        <f t="shared" si="10"/>
        <v>0</v>
      </c>
      <c r="AD73" s="90">
        <f t="shared" si="10"/>
        <v>0</v>
      </c>
    </row>
    <row r="74" spans="1:30" x14ac:dyDescent="0.2">
      <c r="A74" s="1"/>
      <c r="B74" s="1"/>
      <c r="C74" s="1"/>
      <c r="D74" s="1"/>
      <c r="E74" s="1"/>
      <c r="F74" s="1"/>
      <c r="G74" s="1"/>
      <c r="H74" s="1"/>
      <c r="I74" s="1"/>
      <c r="J74" s="1"/>
      <c r="K74" s="1"/>
      <c r="L74" s="1"/>
      <c r="M74" s="1"/>
      <c r="N74" s="1"/>
      <c r="O74" s="1"/>
      <c r="P74" s="1"/>
      <c r="Q74" s="571"/>
      <c r="S74" s="89" t="s">
        <v>229</v>
      </c>
      <c r="T74" s="90">
        <f>(T72+T73)-100</f>
        <v>-23.333333333333329</v>
      </c>
      <c r="U74" s="90">
        <f>(U72+U73)-100</f>
        <v>-23.333333333333286</v>
      </c>
      <c r="V74" s="90">
        <f>(V72+V73)-100</f>
        <v>-36.111111111111235</v>
      </c>
      <c r="W74" s="90"/>
      <c r="X74" s="89" t="s">
        <v>229</v>
      </c>
      <c r="Y74" s="90">
        <f t="shared" ref="Y74:AD74" si="11">(Y72+Y73)-100</f>
        <v>-33.6047190431931</v>
      </c>
      <c r="Z74" s="90">
        <f t="shared" si="11"/>
        <v>-33.604719043192944</v>
      </c>
      <c r="AA74" s="90">
        <f t="shared" si="11"/>
        <v>-33.6047190431931</v>
      </c>
      <c r="AB74" s="90">
        <f t="shared" si="11"/>
        <v>-44.67059920266091</v>
      </c>
      <c r="AC74" s="90">
        <f t="shared" si="11"/>
        <v>-44.670599202660789</v>
      </c>
      <c r="AD74" s="90">
        <f t="shared" si="11"/>
        <v>-44.67059920266091</v>
      </c>
    </row>
    <row r="75" spans="1:30" x14ac:dyDescent="0.2">
      <c r="A75" s="1"/>
      <c r="B75" s="1"/>
      <c r="C75" s="1"/>
      <c r="D75" s="1"/>
      <c r="E75" s="1"/>
      <c r="F75" s="1"/>
      <c r="G75" s="1"/>
      <c r="H75" s="1"/>
      <c r="I75" s="1"/>
      <c r="J75" s="1"/>
      <c r="K75" s="1"/>
      <c r="L75" s="1"/>
      <c r="M75" s="1"/>
      <c r="N75" s="1"/>
      <c r="O75" s="1"/>
      <c r="P75" s="1"/>
      <c r="Q75" s="571"/>
      <c r="S75" s="89" t="s">
        <v>314</v>
      </c>
      <c r="T75">
        <f>IF(T73=0,0,IF(T73&gt;100-T72,100-T72,T73))</f>
        <v>0</v>
      </c>
      <c r="U75">
        <f>IF(U73=0,0,IF(U73&gt;100-U72,100-U72,U73))</f>
        <v>0</v>
      </c>
      <c r="V75">
        <f>IF(V73=0,0,IF(V73&gt;100-V72,100-V72,V73))</f>
        <v>0</v>
      </c>
      <c r="W75" s="90"/>
      <c r="X75" s="89" t="s">
        <v>314</v>
      </c>
      <c r="Y75" s="90">
        <f t="shared" ref="Y75:AD75" si="12">IF(Y73=0,0,IF(Y73&gt;100-Y72,100-Y72,Y73))</f>
        <v>0</v>
      </c>
      <c r="Z75" s="90">
        <f t="shared" si="12"/>
        <v>0</v>
      </c>
      <c r="AA75" s="90">
        <f t="shared" si="12"/>
        <v>0</v>
      </c>
      <c r="AB75" s="90">
        <f t="shared" si="12"/>
        <v>0</v>
      </c>
      <c r="AC75" s="90">
        <f t="shared" si="12"/>
        <v>0</v>
      </c>
      <c r="AD75" s="90">
        <f t="shared" si="12"/>
        <v>0</v>
      </c>
    </row>
    <row r="76" spans="1:30" x14ac:dyDescent="0.2">
      <c r="A76" s="1"/>
      <c r="B76" s="1"/>
      <c r="C76" s="1"/>
      <c r="D76" s="1"/>
      <c r="E76" s="1"/>
      <c r="F76" s="1"/>
      <c r="G76" s="1"/>
      <c r="H76" s="1"/>
      <c r="I76" s="1"/>
      <c r="J76" s="1"/>
      <c r="K76" s="1"/>
      <c r="L76" s="1"/>
      <c r="M76" s="1"/>
      <c r="N76" s="1"/>
      <c r="O76" s="1"/>
      <c r="P76" s="1"/>
      <c r="Q76" s="571"/>
      <c r="S76" s="89" t="s">
        <v>231</v>
      </c>
      <c r="T76" s="90" t="e">
        <f>IF(T72+T73&gt;100,(T72+T73)-(T75+T72),NA())</f>
        <v>#N/A</v>
      </c>
      <c r="U76" s="90" t="e">
        <f>IF(U72+U73&gt;100,(U72+U73)-(U75+U72),NA())</f>
        <v>#N/A</v>
      </c>
      <c r="V76" s="90" t="e">
        <f>IF(V72+V73&gt;100,(V72+V73)-(V75+V72),NA())</f>
        <v>#N/A</v>
      </c>
      <c r="W76" s="90"/>
      <c r="X76" s="89" t="s">
        <v>231</v>
      </c>
      <c r="Y76" s="90" t="e">
        <f t="shared" ref="Y76:AD76" si="13">IF(Y72+Y73&gt;100,(Y72+Y73)-(Y75+Y72),NA())</f>
        <v>#N/A</v>
      </c>
      <c r="Z76" s="90" t="e">
        <f t="shared" si="13"/>
        <v>#N/A</v>
      </c>
      <c r="AA76" s="90" t="e">
        <f t="shared" si="13"/>
        <v>#N/A</v>
      </c>
      <c r="AB76" s="90" t="e">
        <f t="shared" si="13"/>
        <v>#N/A</v>
      </c>
      <c r="AC76" s="90" t="e">
        <f t="shared" si="13"/>
        <v>#N/A</v>
      </c>
      <c r="AD76" s="90" t="e">
        <f t="shared" si="13"/>
        <v>#N/A</v>
      </c>
    </row>
    <row r="77" spans="1:30" x14ac:dyDescent="0.2">
      <c r="A77" s="1"/>
      <c r="B77" s="1"/>
      <c r="C77" s="1"/>
      <c r="D77" s="1"/>
      <c r="E77" s="1"/>
      <c r="F77" s="1"/>
      <c r="G77" s="1"/>
      <c r="H77" s="1"/>
      <c r="I77" s="1"/>
      <c r="J77" s="1"/>
      <c r="K77" s="1"/>
      <c r="L77" s="1"/>
      <c r="M77" s="1"/>
      <c r="N77" s="1"/>
      <c r="O77" s="1"/>
      <c r="P77" s="1"/>
      <c r="Q77" s="571"/>
      <c r="S77" s="89"/>
      <c r="W77" s="90"/>
      <c r="X77" s="89" t="s">
        <v>232</v>
      </c>
      <c r="Y77" s="90">
        <f>Data!$AF$13</f>
        <v>10</v>
      </c>
      <c r="Z77" s="90">
        <f>Data!$AF$13</f>
        <v>10</v>
      </c>
      <c r="AA77" s="90">
        <f>Data!$AF$13</f>
        <v>10</v>
      </c>
      <c r="AB77" s="90">
        <f>Data!$AF$13</f>
        <v>10</v>
      </c>
      <c r="AC77" s="90">
        <f>Data!$AF$13</f>
        <v>10</v>
      </c>
      <c r="AD77" s="90">
        <f>Data!$AF$13</f>
        <v>10</v>
      </c>
    </row>
    <row r="78" spans="1:30" x14ac:dyDescent="0.2">
      <c r="A78" s="1"/>
      <c r="B78" s="1"/>
      <c r="C78" s="1"/>
      <c r="D78" s="1"/>
      <c r="E78" s="1"/>
      <c r="F78" s="1"/>
      <c r="G78" s="1"/>
      <c r="H78" s="1"/>
      <c r="I78" s="1"/>
      <c r="J78" s="1"/>
      <c r="K78" s="1"/>
      <c r="L78" s="1"/>
      <c r="M78" s="1"/>
      <c r="N78" s="1"/>
      <c r="O78" s="1"/>
      <c r="P78" s="1"/>
      <c r="Q78" s="571"/>
      <c r="S78" s="89"/>
      <c r="T78" s="90"/>
      <c r="U78" s="90"/>
      <c r="V78" s="90"/>
      <c r="W78" s="90"/>
      <c r="X78" s="89" t="s">
        <v>233</v>
      </c>
      <c r="Y78" s="92">
        <f>'US MDM-5000'!D65</f>
        <v>5.9427375462168648</v>
      </c>
      <c r="Z78" s="92">
        <f>'US MDM-5000'!F65</f>
        <v>5.9427375462168888</v>
      </c>
      <c r="AA78" s="92">
        <f>'US MDM-5000'!H65</f>
        <v>5.9427375462168648</v>
      </c>
      <c r="AB78" s="92">
        <f>'US MDM-5000'!J65</f>
        <v>4.3391417004123136</v>
      </c>
      <c r="AC78" s="92">
        <f>'US MDM-5000'!L65</f>
        <v>4.3391417004123323</v>
      </c>
      <c r="AD78" s="92">
        <f>'US MDM-5000'!N65</f>
        <v>4.3391417004123136</v>
      </c>
    </row>
    <row r="79" spans="1:30" x14ac:dyDescent="0.2">
      <c r="A79" s="1"/>
      <c r="B79" s="1"/>
      <c r="C79" s="1"/>
      <c r="D79" s="1"/>
      <c r="E79" s="1"/>
      <c r="F79" s="1"/>
      <c r="G79" s="1"/>
      <c r="H79" s="1"/>
      <c r="I79" s="1"/>
      <c r="J79" s="1"/>
      <c r="K79" s="1"/>
      <c r="L79" s="1"/>
      <c r="M79" s="1"/>
      <c r="N79" s="1"/>
      <c r="O79" s="1"/>
      <c r="P79" s="1"/>
      <c r="Q79" s="571"/>
      <c r="S79" s="89"/>
      <c r="T79" s="90"/>
      <c r="U79" s="90"/>
      <c r="V79" s="90"/>
      <c r="W79" s="90"/>
      <c r="X79" s="89" t="s">
        <v>234</v>
      </c>
      <c r="Y79" s="90">
        <f t="shared" ref="Y79:AD79" si="14">IF(-Y78&gt;-Y77,-Y78,-Y77)</f>
        <v>-5.9427375462168648</v>
      </c>
      <c r="Z79" s="90">
        <f t="shared" si="14"/>
        <v>-5.9427375462168888</v>
      </c>
      <c r="AA79" s="90">
        <f t="shared" si="14"/>
        <v>-5.9427375462168648</v>
      </c>
      <c r="AB79" s="90">
        <f t="shared" si="14"/>
        <v>-4.3391417004123136</v>
      </c>
      <c r="AC79" s="90">
        <f t="shared" si="14"/>
        <v>-4.3391417004123323</v>
      </c>
      <c r="AD79" s="90">
        <f t="shared" si="14"/>
        <v>-4.3391417004123136</v>
      </c>
    </row>
    <row r="80" spans="1:30" ht="17" thickBot="1" x14ac:dyDescent="0.25">
      <c r="A80" s="1"/>
      <c r="B80" s="71" t="str">
        <f>Data!$T$1</f>
        <v>Meyer Sound Laboratories, Inc. Berkeley, California, USA                                 www.meyersound.com</v>
      </c>
      <c r="C80" s="1"/>
      <c r="D80" s="1"/>
      <c r="E80" s="1"/>
      <c r="F80" s="1"/>
      <c r="G80" s="1"/>
      <c r="H80" s="1"/>
      <c r="I80" s="1"/>
      <c r="J80" s="1"/>
      <c r="K80" s="1"/>
      <c r="L80" s="1"/>
      <c r="M80" s="1"/>
      <c r="N80" s="1"/>
      <c r="O80" s="1"/>
      <c r="P80" s="392" t="str">
        <f>Data!$G$1</f>
        <v>© 2021</v>
      </c>
      <c r="Q80" s="571"/>
      <c r="S80" s="89"/>
      <c r="T80" s="90"/>
      <c r="U80" s="90"/>
      <c r="V80" s="90"/>
      <c r="W80" s="90"/>
      <c r="X80" s="89" t="s">
        <v>235</v>
      </c>
      <c r="Y80" s="90" t="e">
        <f t="shared" ref="Y80:AD80" si="15">IF(-Y78&gt;-Y77,NA(),-Y78+Y77)</f>
        <v>#N/A</v>
      </c>
      <c r="Z80" s="90" t="e">
        <f t="shared" si="15"/>
        <v>#N/A</v>
      </c>
      <c r="AA80" s="90" t="e">
        <f t="shared" si="15"/>
        <v>#N/A</v>
      </c>
      <c r="AB80" s="90" t="e">
        <f t="shared" si="15"/>
        <v>#N/A</v>
      </c>
      <c r="AC80" s="90" t="e">
        <f t="shared" si="15"/>
        <v>#N/A</v>
      </c>
      <c r="AD80" s="90" t="e">
        <f t="shared" si="15"/>
        <v>#N/A</v>
      </c>
    </row>
    <row r="81" spans="1:29" x14ac:dyDescent="0.2">
      <c r="A81" s="133"/>
      <c r="B81" s="133"/>
      <c r="C81" s="133"/>
      <c r="D81" s="133"/>
      <c r="E81" s="133"/>
      <c r="F81" s="133"/>
      <c r="G81" s="133"/>
      <c r="H81" s="133"/>
      <c r="I81" s="133"/>
      <c r="J81" s="133"/>
      <c r="K81" s="133"/>
      <c r="L81" s="133"/>
      <c r="M81" s="133"/>
      <c r="N81" s="133"/>
      <c r="O81" s="163" t="str">
        <f>Data!$M$1</f>
        <v>06.257.005.01 C</v>
      </c>
      <c r="P81" s="133"/>
      <c r="W81" t="s">
        <v>272</v>
      </c>
      <c r="Z81" s="90"/>
      <c r="AA81" t="s">
        <v>272</v>
      </c>
    </row>
    <row r="82" spans="1:29" x14ac:dyDescent="0.2">
      <c r="A82" s="1"/>
      <c r="B82" s="10" t="s">
        <v>192</v>
      </c>
      <c r="C82" s="1"/>
      <c r="D82" s="73" t="s">
        <v>279</v>
      </c>
      <c r="E82" s="73" t="s">
        <v>280</v>
      </c>
      <c r="F82" s="73" t="s">
        <v>281</v>
      </c>
      <c r="G82" s="74" t="s">
        <v>282</v>
      </c>
      <c r="H82" s="74" t="s">
        <v>283</v>
      </c>
      <c r="I82" s="74" t="s">
        <v>284</v>
      </c>
      <c r="J82" s="1"/>
      <c r="K82" s="627" t="s">
        <v>160</v>
      </c>
      <c r="L82" s="628"/>
      <c r="M82" s="104" t="s">
        <v>158</v>
      </c>
      <c r="N82" s="70"/>
      <c r="O82" s="72">
        <v>12</v>
      </c>
      <c r="P82" s="1"/>
      <c r="V82" s="623" t="s">
        <v>104</v>
      </c>
      <c r="W82" s="93">
        <f>D83*COS(RADIANS(0))</f>
        <v>120</v>
      </c>
      <c r="X82" s="93">
        <f>E83*COS(RADIANS(-120))</f>
        <v>-59.999999999999972</v>
      </c>
      <c r="Y82" s="93">
        <f>F83*COS(RADIANS(120))</f>
        <v>-59.999999999999972</v>
      </c>
      <c r="Z82" s="95" t="s">
        <v>285</v>
      </c>
      <c r="AA82" s="93">
        <f>G83*COS(RADIANS(0))</f>
        <v>120</v>
      </c>
      <c r="AB82" s="93">
        <f>H83*COS(RADIANS(-120))</f>
        <v>-59.999999999999972</v>
      </c>
      <c r="AC82" s="93">
        <f>I83*COS(RADIANS(120))</f>
        <v>-59.999999999999972</v>
      </c>
    </row>
    <row r="83" spans="1:29" x14ac:dyDescent="0.2">
      <c r="A83" s="1"/>
      <c r="B83" s="69"/>
      <c r="C83" s="1"/>
      <c r="D83" s="139">
        <f>'Master US'!$D$4</f>
        <v>120</v>
      </c>
      <c r="E83" s="139">
        <f>'Master US'!$G$4</f>
        <v>120</v>
      </c>
      <c r="F83" s="139">
        <f>'Master US'!$J$4</f>
        <v>120</v>
      </c>
      <c r="G83" s="139">
        <f>'Master US'!$D$4</f>
        <v>120</v>
      </c>
      <c r="H83" s="139">
        <f>'Master US'!$G$4</f>
        <v>120</v>
      </c>
      <c r="I83" s="139">
        <f>'Master US'!$J$4</f>
        <v>120</v>
      </c>
      <c r="J83" s="97"/>
      <c r="K83" s="103" t="s">
        <v>286</v>
      </c>
      <c r="L83" s="103" t="s">
        <v>287</v>
      </c>
      <c r="M83" s="71"/>
      <c r="N83" s="134"/>
      <c r="O83" s="1"/>
      <c r="P83" s="1"/>
      <c r="V83" s="623"/>
      <c r="W83" s="93">
        <f>D83*SIN(RADIANS(0))</f>
        <v>0</v>
      </c>
      <c r="X83" s="93">
        <f>E83*SIN(RADIANS(-120))</f>
        <v>-103.92304845413264</v>
      </c>
      <c r="Y83" s="93">
        <f>F83*SIN(RADIANS(120))</f>
        <v>103.92304845413264</v>
      </c>
      <c r="Z83" s="95" t="s">
        <v>288</v>
      </c>
      <c r="AA83" s="93">
        <f>G83*SIN(RADIANS(0))</f>
        <v>0</v>
      </c>
      <c r="AB83" s="93">
        <f>H83*SIN(RADIANS(-120))</f>
        <v>-103.92304845413264</v>
      </c>
      <c r="AC83" s="93">
        <f>I83*SIN(RADIANS(120))</f>
        <v>103.92304845413264</v>
      </c>
    </row>
    <row r="84" spans="1:29" ht="5" customHeight="1" x14ac:dyDescent="0.25">
      <c r="A84" s="1"/>
      <c r="B84" s="2"/>
      <c r="C84" s="1"/>
      <c r="D84" s="5"/>
      <c r="E84" s="40"/>
      <c r="F84" s="5">
        <v>100</v>
      </c>
      <c r="G84" s="40"/>
      <c r="H84" s="5"/>
      <c r="I84" s="8"/>
      <c r="J84" s="98"/>
      <c r="K84" s="98"/>
      <c r="L84" s="1"/>
      <c r="M84" s="1"/>
      <c r="N84" s="1"/>
      <c r="O84" s="1"/>
      <c r="P84" s="1"/>
      <c r="V84" s="623"/>
      <c r="W84" s="93"/>
      <c r="X84" s="93"/>
      <c r="Y84" s="93"/>
      <c r="Z84" s="95"/>
      <c r="AA84" s="93"/>
      <c r="AB84" s="93"/>
      <c r="AC84" s="93"/>
    </row>
    <row r="85" spans="1:29" ht="15" customHeight="1" x14ac:dyDescent="0.25">
      <c r="A85" s="1"/>
      <c r="B85" s="23" t="s">
        <v>289</v>
      </c>
      <c r="C85" s="1"/>
      <c r="D85" s="75">
        <f>IMABS(W91)</f>
        <v>23</v>
      </c>
      <c r="E85" s="75">
        <f>IMABS(X91)</f>
        <v>23.000000000000014</v>
      </c>
      <c r="F85" s="75">
        <f>IMABS(Y91)</f>
        <v>23.000000000000014</v>
      </c>
      <c r="G85" s="75">
        <f>IMABS(AA91)</f>
        <v>19.1666666666667</v>
      </c>
      <c r="H85" s="75">
        <f>IMABS(AB91)</f>
        <v>19.166666666666629</v>
      </c>
      <c r="I85" s="75">
        <f>IMABS(AC91)</f>
        <v>19.166666666666629</v>
      </c>
      <c r="J85" s="102" t="s">
        <v>116</v>
      </c>
      <c r="K85" s="98"/>
      <c r="L85" s="1"/>
      <c r="M85" s="629" t="str">
        <f>IF('US MDM-5000'!U94=0,"O K pass UL",IF(AND('US MDM-5000'!S94=0,'US MDM-5000'!T94&gt;0),"OK Not UL",IF(AND('US MDM-5000'!S94&gt;0,'US MDM-5000'!T94&gt;0),"N O !","N O !")))</f>
        <v>O K pass UL</v>
      </c>
      <c r="N85" s="630"/>
      <c r="O85" s="635">
        <v>3</v>
      </c>
      <c r="P85" s="71"/>
      <c r="V85" s="623"/>
      <c r="W85" s="92" t="str">
        <f>COMPLEX(W82,W83)</f>
        <v>120</v>
      </c>
      <c r="X85" s="92" t="str">
        <f>COMPLEX(X82,X83)</f>
        <v>-60-103.923048454133i</v>
      </c>
      <c r="Y85" s="92" t="str">
        <f>COMPLEX(Y82,Y83)</f>
        <v>-60+103.923048454133i</v>
      </c>
      <c r="Z85" s="95" t="s">
        <v>290</v>
      </c>
      <c r="AA85" s="92" t="str">
        <f>COMPLEX(AA82,AA83)</f>
        <v>120</v>
      </c>
      <c r="AB85" s="92" t="str">
        <f>COMPLEX(AB82,AB83)</f>
        <v>-60-103.923048454133i</v>
      </c>
      <c r="AC85" s="92" t="str">
        <f>COMPLEX(AC82,AC83)</f>
        <v>-60+103.923048454133i</v>
      </c>
    </row>
    <row r="86" spans="1:29" ht="15" customHeight="1" x14ac:dyDescent="0.2">
      <c r="A86" s="1"/>
      <c r="B86" s="23" t="s">
        <v>291</v>
      </c>
      <c r="C86" s="1"/>
      <c r="D86" s="146">
        <f>D83*W86</f>
        <v>4231.9999999999918</v>
      </c>
      <c r="E86" s="146">
        <f>E83*X86</f>
        <v>4231.9999999999973</v>
      </c>
      <c r="F86" s="146">
        <f>F83*Y86</f>
        <v>4231.9999999999973</v>
      </c>
      <c r="G86" s="146">
        <f>G83*AA86</f>
        <v>4324.0000000000082</v>
      </c>
      <c r="H86" s="146">
        <f>H83*AB86</f>
        <v>4323.9999999999945</v>
      </c>
      <c r="I86" s="146">
        <f>I83*AC86</f>
        <v>4323.9999999999945</v>
      </c>
      <c r="J86" s="100" t="s">
        <v>265</v>
      </c>
      <c r="K86" s="106">
        <f>(SQRT(POWER(E83,2)+POWER(F83,2)+POWER(D83,2)))*(SQRT(POWER(E85,2)+POWER(F85,2)+POWER(D85,2)))</f>
        <v>8280.0000000000036</v>
      </c>
      <c r="L86" s="107">
        <f>(SQRT(POWER(H83,2)+POWER(I83,2)+POWER(G83,2)))*(SQRT(POWER(H85,2)+POWER(I85,2)+POWER(G85,2)))</f>
        <v>6899.9999999999955</v>
      </c>
      <c r="M86" s="631"/>
      <c r="N86" s="632"/>
      <c r="O86" s="635"/>
      <c r="P86" s="71"/>
      <c r="V86" s="623" t="s">
        <v>292</v>
      </c>
      <c r="W86">
        <f>IMABS(W89)</f>
        <v>35.266666666666602</v>
      </c>
      <c r="X86">
        <f>IMABS(X89)</f>
        <v>35.266666666666644</v>
      </c>
      <c r="Y86">
        <f>IMABS(Y89)</f>
        <v>35.266666666666644</v>
      </c>
      <c r="Z86" s="95" t="s">
        <v>293</v>
      </c>
      <c r="AA86">
        <f>IMABS(AA89)</f>
        <v>36.033333333333402</v>
      </c>
      <c r="AB86">
        <f>IMABS(AB89)</f>
        <v>36.033333333333289</v>
      </c>
      <c r="AC86">
        <f>IMABS(AC89)</f>
        <v>36.033333333333289</v>
      </c>
    </row>
    <row r="87" spans="1:29" ht="15" customHeight="1" x14ac:dyDescent="0.2">
      <c r="A87" s="1"/>
      <c r="B87" s="24" t="s">
        <v>266</v>
      </c>
      <c r="C87" s="1"/>
      <c r="D87" s="146">
        <f>IFERROR(D83*D85*COS(RADIANS(0-W87)),0)</f>
        <v>2760</v>
      </c>
      <c r="E87" s="146">
        <f>IFERROR(E83*E85*COS(RADIANS(-120-X87)),0)</f>
        <v>2760.0000000000018</v>
      </c>
      <c r="F87" s="146">
        <f>IFERROR(F83*F85*COS(RADIANS(120-Y87)),0)</f>
        <v>2760.0000000000018</v>
      </c>
      <c r="G87" s="146">
        <f>IFERROR(G83*G85*COS(RADIANS(0-AA87)),0)</f>
        <v>2300.0000000000041</v>
      </c>
      <c r="H87" s="146">
        <f>IFERROR(H83*H85*COS(RADIANS(-120-AB87)),0)</f>
        <v>2299.9999999999955</v>
      </c>
      <c r="I87" s="146">
        <f>IFERROR(I83*I85*COS(RADIANS(120-AC87)),0)</f>
        <v>2299.9999999999955</v>
      </c>
      <c r="J87" s="101" t="s">
        <v>267</v>
      </c>
      <c r="K87" s="105">
        <f>SUM(D87:F87)</f>
        <v>8280.0000000000036</v>
      </c>
      <c r="L87" s="108">
        <f>SUM(G87:I87)</f>
        <v>6899.9999999999955</v>
      </c>
      <c r="M87" s="633"/>
      <c r="N87" s="634"/>
      <c r="O87" s="635"/>
      <c r="P87" s="71"/>
      <c r="R87" t="s">
        <v>294</v>
      </c>
      <c r="S87" s="88">
        <f>O85</f>
        <v>3</v>
      </c>
      <c r="T87" t="s">
        <v>257</v>
      </c>
      <c r="V87" s="623"/>
      <c r="W87">
        <f>DEGREES(IMARGUMENT(W89))</f>
        <v>0</v>
      </c>
      <c r="X87">
        <f>DEGREES(IMARGUMENT(X89))</f>
        <v>-119.99999999999997</v>
      </c>
      <c r="Y87">
        <f>DEGREES(IMARGUMENT(Y89))</f>
        <v>119.99999999999997</v>
      </c>
      <c r="Z87" s="90" t="s">
        <v>296</v>
      </c>
      <c r="AA87">
        <f>DEGREES(IMARGUMENT(AA89))</f>
        <v>0</v>
      </c>
      <c r="AB87">
        <f>DEGREES(IMARGUMENT(AB89))</f>
        <v>-120.00000000000011</v>
      </c>
      <c r="AC87">
        <f>DEGREES(IMARGUMENT(AC89))</f>
        <v>120.00000000000011</v>
      </c>
    </row>
    <row r="88" spans="1:29" ht="8" customHeight="1" thickBot="1" x14ac:dyDescent="0.25">
      <c r="A88" s="1"/>
      <c r="B88" s="1"/>
      <c r="C88" s="1"/>
      <c r="D88" s="1"/>
      <c r="E88" s="1"/>
      <c r="F88" s="1"/>
      <c r="G88" s="1"/>
      <c r="H88" s="1"/>
      <c r="I88" s="1"/>
      <c r="J88" s="1"/>
      <c r="K88" s="1"/>
      <c r="L88" s="1"/>
      <c r="M88" s="1"/>
      <c r="N88" s="1"/>
      <c r="O88" s="1"/>
      <c r="P88" s="1"/>
      <c r="R88" t="s">
        <v>162</v>
      </c>
      <c r="S88">
        <f>IF(OR('US MDM-5000'!E85&gt;Data!$AF$6,'US MDM-5000'!G85&gt;Data!$AF$6,'US MDM-5000'!I85&gt;Data!$AF$6,'US MDM-5000'!D85&gt;Data!$AF$6,'US MDM-5000'!F85&gt;Data!$AF$6,'US MDM-5000'!H85&gt;Data!$AF$6),1,0)</f>
        <v>0</v>
      </c>
      <c r="T88">
        <f>IF(OR('US MDM-5000'!E85&gt;Data!$AG$6,'US MDM-5000'!G85&gt;Data!$AG$6,'US MDM-5000'!I85&gt;Data!$AG$6,'US MDM-5000'!D85&gt;Data!$AG$6,'US MDM-5000'!F85&gt;Data!$AG$6,'US MDM-5000'!H85&gt;Data!$AG$6),1,0)</f>
        <v>0</v>
      </c>
      <c r="V88" s="623"/>
      <c r="Z88" s="94"/>
    </row>
    <row r="89" spans="1:29" x14ac:dyDescent="0.2">
      <c r="A89" s="1"/>
      <c r="B89" s="10" t="s">
        <v>203</v>
      </c>
      <c r="C89" s="1"/>
      <c r="D89" s="560" t="s">
        <v>297</v>
      </c>
      <c r="E89" s="561"/>
      <c r="F89" s="553" t="s">
        <v>298</v>
      </c>
      <c r="G89" s="561"/>
      <c r="H89" s="553" t="s">
        <v>299</v>
      </c>
      <c r="I89" s="561"/>
      <c r="J89" s="553" t="s">
        <v>300</v>
      </c>
      <c r="K89" s="561"/>
      <c r="L89" s="553" t="s">
        <v>301</v>
      </c>
      <c r="M89" s="561"/>
      <c r="N89" s="553" t="s">
        <v>302</v>
      </c>
      <c r="O89" s="554"/>
      <c r="P89" s="1"/>
      <c r="R89" t="s">
        <v>201</v>
      </c>
      <c r="S89">
        <f>IF(OR('US MDM-5000'!D97&gt;Data!$AF$7,'US MDM-5000'!F97&gt;Data!$AF$7,'US MDM-5000'!H97&gt;Data!$AF$7,'US MDM-5000'!J97&gt;Data!$AF$7,'US MDM-5000'!L97&gt;Data!$AF$7,'US MDM-5000'!N97&gt;Data!$AF$7),1,0)</f>
        <v>0</v>
      </c>
      <c r="T89">
        <f>IF(OR('US MDM-5000'!D97&gt;Data!$AG$7,'US MDM-5000'!F97&gt;Data!$AG$7,'US MDM-5000'!H97&gt;Data!$AG$7,'US MDM-5000'!J97&gt;Data!$AG$7,'US MDM-5000'!L97&gt;Data!$AG$7,'US MDM-5000'!N97&gt;Data!$AG$7),1,0)</f>
        <v>0</v>
      </c>
      <c r="V89" s="623"/>
      <c r="W89" t="str">
        <f>IMSUM(Y93,W92)</f>
        <v>35.2666666666666</v>
      </c>
      <c r="X89" t="str">
        <f>IMSUM(X92,W93)</f>
        <v>-17.6333333333333-30.5418292401312i</v>
      </c>
      <c r="Y89" t="str">
        <f>IMSUM(X93,Y92)</f>
        <v>-17.6333333333333+30.5418292401312i</v>
      </c>
      <c r="Z89" s="94"/>
      <c r="AA89" t="str">
        <f>IMSUM(AA92,AC93)</f>
        <v>36.0333333333334</v>
      </c>
      <c r="AB89" t="str">
        <f>IMSUM(AB92,AA93)</f>
        <v>-18.0166666666667-31.2057820496992i</v>
      </c>
      <c r="AC89" t="str">
        <f>IMSUM(AC92,AB93)</f>
        <v>-18.0166666666667+31.2057820496992i</v>
      </c>
    </row>
    <row r="90" spans="1:29" x14ac:dyDescent="0.2">
      <c r="A90" s="1"/>
      <c r="B90" s="99" t="s">
        <v>303</v>
      </c>
      <c r="C90" s="1"/>
      <c r="D90" s="626" t="s">
        <v>304</v>
      </c>
      <c r="E90" s="624"/>
      <c r="F90" s="624" t="s">
        <v>304</v>
      </c>
      <c r="G90" s="624"/>
      <c r="H90" s="624" t="s">
        <v>304</v>
      </c>
      <c r="I90" s="624"/>
      <c r="J90" s="624" t="s">
        <v>304</v>
      </c>
      <c r="K90" s="624"/>
      <c r="L90" s="624" t="s">
        <v>304</v>
      </c>
      <c r="M90" s="624"/>
      <c r="N90" s="624" t="s">
        <v>304</v>
      </c>
      <c r="O90" s="624"/>
      <c r="P90" s="1"/>
      <c r="V90" s="94"/>
      <c r="Z90" s="90"/>
    </row>
    <row r="91" spans="1:29" x14ac:dyDescent="0.2">
      <c r="A91" s="1"/>
      <c r="B91" s="23" t="s">
        <v>205</v>
      </c>
      <c r="C91" s="1"/>
      <c r="D91" s="32" t="s">
        <v>236</v>
      </c>
      <c r="E91" s="33">
        <v>8</v>
      </c>
      <c r="F91" s="34" t="s">
        <v>236</v>
      </c>
      <c r="G91" s="33">
        <v>8</v>
      </c>
      <c r="H91" s="34" t="s">
        <v>236</v>
      </c>
      <c r="I91" s="33">
        <v>8</v>
      </c>
      <c r="J91" s="34" t="s">
        <v>237</v>
      </c>
      <c r="K91" s="33">
        <v>4</v>
      </c>
      <c r="L91" s="34" t="s">
        <v>237</v>
      </c>
      <c r="M91" s="33">
        <v>4</v>
      </c>
      <c r="N91" s="34" t="s">
        <v>237</v>
      </c>
      <c r="O91" s="35">
        <v>4</v>
      </c>
      <c r="P91" s="1"/>
      <c r="R91" t="s">
        <v>202</v>
      </c>
      <c r="S91">
        <f>IF(OR('US MDM-5000'!D99&gt;Data!$AF$8,'US MDM-5000'!F99&gt;Data!$AF$8,'US MDM-5000'!H99&gt;Data!$AF$8,'US MDM-5000'!J99&gt;Data!$AF$8,'US MDM-5000'!L99&gt;Data!$AF$8,'US MDM-5000'!N99&gt;Data!$AF$8),1,0)</f>
        <v>0</v>
      </c>
      <c r="V91" s="625" t="s">
        <v>305</v>
      </c>
      <c r="W91" t="str">
        <f>IMSUM(Y102,W101)</f>
        <v>23</v>
      </c>
      <c r="X91" t="str">
        <f>IMSUM(X101,W102)</f>
        <v>-11.5-19.9185842870421i</v>
      </c>
      <c r="Y91" t="str">
        <f>IMSUM(X102,Y101)</f>
        <v>-11.5+19.9185842870421i</v>
      </c>
      <c r="Z91" s="94"/>
      <c r="AA91" t="str">
        <f>IMSUM(AA101,AC102)</f>
        <v>19.1666666666667</v>
      </c>
      <c r="AB91" t="str">
        <f>IMSUM(AB101,AA102)</f>
        <v>-9.58333333333333-16.5988202392017i</v>
      </c>
      <c r="AC91" t="str">
        <f>IMSUM(AC101,AB102)</f>
        <v>-9.58333333333333+16.5988202392017i</v>
      </c>
    </row>
    <row r="92" spans="1:29" x14ac:dyDescent="0.2">
      <c r="A92" s="1"/>
      <c r="B92" s="23" t="s">
        <v>205</v>
      </c>
      <c r="C92" s="1"/>
      <c r="D92" s="36" t="s">
        <v>127</v>
      </c>
      <c r="E92" s="33">
        <v>0</v>
      </c>
      <c r="F92" s="37" t="s">
        <v>127</v>
      </c>
      <c r="G92" s="33">
        <v>0</v>
      </c>
      <c r="H92" s="37" t="s">
        <v>127</v>
      </c>
      <c r="I92" s="33">
        <v>0</v>
      </c>
      <c r="J92" s="37" t="s">
        <v>127</v>
      </c>
      <c r="K92" s="33">
        <v>0</v>
      </c>
      <c r="L92" s="37" t="s">
        <v>127</v>
      </c>
      <c r="M92" s="33">
        <v>0</v>
      </c>
      <c r="N92" s="37" t="s">
        <v>127</v>
      </c>
      <c r="O92" s="35">
        <v>0</v>
      </c>
      <c r="P92" s="1"/>
      <c r="R92" t="s">
        <v>204</v>
      </c>
      <c r="S92">
        <f>IF(OR('US MDM-5000'!D105&gt;Data!$AF$13,'US MDM-5000'!F105&gt;Data!$AF$13,'US MDM-5000'!H105&gt;Data!$AF$13,'US MDM-5000'!J105&gt;Data!$AF$13,'US MDM-5000'!L105&gt;Data!$AF$13,'US MDM-5000'!N105&gt;Data!$AF$13),1,0)</f>
        <v>0</v>
      </c>
      <c r="V92" s="625"/>
      <c r="W92" t="str">
        <f>IF(D90="On",COMPLEX((D98*COS(RADIANS(30))),(D98*SIN(RADIANS(30)))),COMPLEX((0*COS(RADIANS(30))),(0*SIN(RADIANS(30)))))</f>
        <v>17.6333333333333+10.1806097467104i</v>
      </c>
      <c r="X92" t="str">
        <f>IF(F90="On",COMPLEX((F98*COS(RADIANS(-90))),(F98*SIN(RADIANS(-90)))),COMPLEX((0*COS(RADIANS(-90))),(0*SIN(RADIANS(-90)))))</f>
        <v>1.24727583012099E-15-20.3612194934208i</v>
      </c>
      <c r="Y92" t="str">
        <f>IF(H90="On",COMPLEX((H98*COS(RADIANS(150))),(H98*SIN(RADIANS(150)))),COMPLEX((0*COS(RADIANS(150))),(0*SIN(RADIANS(150)))))</f>
        <v>-17.6333333333333+10.1806097467104i</v>
      </c>
      <c r="Z92" s="94" t="s">
        <v>306</v>
      </c>
      <c r="AA92" t="str">
        <f>IF(J90="On",COMPLEX(J98*COS(RADIANS(30)),J98*SIN(RADIANS(30))),COMPLEX(0*COS(RADIANS(30)),0*SIN(RADIANS(30))))</f>
        <v>18.0166666666667+10.4019273498997i</v>
      </c>
      <c r="AB92" t="str">
        <f>IF(L90="On",COMPLEX(L98*COS(RADIANS(-90)),L98*SIN(RADIANS(-90))),COMPLEX(0*COS(RADIANS(-90)),0*SIN(RADIANS(-90))))</f>
        <v>1.27439052208014E-15-20.8038546997995i</v>
      </c>
      <c r="AC92" t="str">
        <f>IF(N90="On",COMPLEX(N98*COS(RADIANS(150)),N98*SIN(RADIANS(150))),COMPLEX(0*COS(RADIANS(150)),0*SIN(RADIANS(150))))</f>
        <v>-18.0166666666667+10.4019273498997i</v>
      </c>
    </row>
    <row r="93" spans="1:29" x14ac:dyDescent="0.2">
      <c r="A93" s="1"/>
      <c r="B93" s="23" t="s">
        <v>121</v>
      </c>
      <c r="C93" s="1"/>
      <c r="D93" s="38">
        <v>100</v>
      </c>
      <c r="E93" s="29" t="s">
        <v>307</v>
      </c>
      <c r="F93" s="39">
        <v>100</v>
      </c>
      <c r="G93" s="29" t="s">
        <v>307</v>
      </c>
      <c r="H93" s="39">
        <v>100</v>
      </c>
      <c r="I93" s="29" t="s">
        <v>307</v>
      </c>
      <c r="J93" s="39">
        <v>100</v>
      </c>
      <c r="K93" s="29" t="s">
        <v>307</v>
      </c>
      <c r="L93" s="39">
        <v>100</v>
      </c>
      <c r="M93" s="29" t="s">
        <v>307</v>
      </c>
      <c r="N93" s="39">
        <v>100</v>
      </c>
      <c r="O93" s="28" t="s">
        <v>307</v>
      </c>
      <c r="P93" s="1"/>
      <c r="W93" t="str">
        <f>IF(D90="On",COMPLEX(-(D98*COS(RADIANS(30))),-(D98*SIN(RADIANS(30)))),COMPLEX(-(0*COS(RADIANS(30))),-(0*SIN(RADIANS(30)))))</f>
        <v>-17.6333333333333-10.1806097467104i</v>
      </c>
      <c r="X93" t="str">
        <f>IF(F90="On",COMPLEX(-(F98*COS(RADIANS(-90))),-(F98*SIN(RADIANS(-90)))),COMPLEX(-(0*COS(RADIANS(-90))),-(0*SIN(RADIANS(-90)))))</f>
        <v>-1.24727583012099E-15+20.3612194934208i</v>
      </c>
      <c r="Y93" t="str">
        <f>IF(H90="On",COMPLEX(-(H98*COS(RADIANS(150))),-(H98*SIN(RADIANS(150)))),COMPLEX(-(0*COS(RADIANS(150))),-(0*SIN(RADIANS(150)))))</f>
        <v>17.6333333333333-10.1806097467104i</v>
      </c>
      <c r="Z93" s="96" t="s">
        <v>308</v>
      </c>
      <c r="AA93" t="str">
        <f>IF(J90="On",COMPLEX(-(J98*COS(RADIANS(30))),-(J98*SIN(RADIANS(30)))),COMPLEX(-(0*COS(RADIANS(30))),-(0*SIN(RADIANS(30)))))</f>
        <v>-18.0166666666667-10.4019273498997i</v>
      </c>
      <c r="AB93" t="str">
        <f>IF(L90="On",COMPLEX(-(L98*COS(RADIANS(-90))),-(L98*SIN(RADIANS(-90)))),COMPLEX(-(0*COS(RADIANS(-90))),-(0*SIN(RADIANS(-90)))))</f>
        <v>-1.27439052208014E-15+20.8038546997995i</v>
      </c>
      <c r="AC93" t="str">
        <f>IF(N90="On",COMPLEX(-(N98*COS(RADIANS(150))),-(N98*SIN(RADIANS(150)))),COMPLEX(-(0*COS(RADIANS(150))),-(0*SIN(RADIANS(150)))))</f>
        <v>18.0166666666667-10.4019273498997i</v>
      </c>
    </row>
    <row r="94" spans="1:29" ht="11" customHeight="1" x14ac:dyDescent="0.2">
      <c r="A94" s="1"/>
      <c r="B94" s="2"/>
      <c r="C94" s="1"/>
      <c r="D94" s="555" t="s">
        <v>210</v>
      </c>
      <c r="E94" s="556"/>
      <c r="F94" s="556"/>
      <c r="G94" s="556"/>
      <c r="H94" s="556"/>
      <c r="I94" s="556"/>
      <c r="J94" s="557" t="s">
        <v>210</v>
      </c>
      <c r="K94" s="556"/>
      <c r="L94" s="556"/>
      <c r="M94" s="556"/>
      <c r="N94" s="556"/>
      <c r="O94" s="558"/>
      <c r="P94" s="1"/>
      <c r="R94" t="s">
        <v>208</v>
      </c>
      <c r="S94">
        <f>SUM(S88:S92)</f>
        <v>0</v>
      </c>
      <c r="T94">
        <f>SUM(T88:T89)</f>
        <v>0</v>
      </c>
      <c r="U94">
        <f>SUM(S94:T94)</f>
        <v>0</v>
      </c>
      <c r="Z94" s="94"/>
    </row>
    <row r="95" spans="1:29" ht="6" customHeight="1" x14ac:dyDescent="0.2">
      <c r="A95" s="1"/>
      <c r="B95" s="2"/>
      <c r="C95" s="1"/>
      <c r="D95" s="3"/>
      <c r="E95" s="4"/>
      <c r="F95" s="5"/>
      <c r="G95" s="4"/>
      <c r="H95" s="5"/>
      <c r="I95" s="4"/>
      <c r="J95" s="5"/>
      <c r="K95" s="4"/>
      <c r="L95" s="5"/>
      <c r="M95" s="4"/>
      <c r="N95" s="5"/>
      <c r="O95" s="6"/>
      <c r="P95" s="1"/>
      <c r="Z95" s="94"/>
    </row>
    <row r="96" spans="1:29" ht="20" customHeight="1" x14ac:dyDescent="0.2">
      <c r="A96" s="1"/>
      <c r="B96" s="23" t="s">
        <v>271</v>
      </c>
      <c r="C96" s="1"/>
      <c r="D96" s="19">
        <f>W96</f>
        <v>207.84609690826545</v>
      </c>
      <c r="E96" s="29" t="s">
        <v>309</v>
      </c>
      <c r="F96" s="20">
        <f>X96</f>
        <v>207.846096908265</v>
      </c>
      <c r="G96" s="29" t="s">
        <v>309</v>
      </c>
      <c r="H96" s="20">
        <f>Y96</f>
        <v>207.84609690826545</v>
      </c>
      <c r="I96" s="29" t="s">
        <v>309</v>
      </c>
      <c r="J96" s="20">
        <f>AA96</f>
        <v>207.84609690826545</v>
      </c>
      <c r="K96" s="29" t="s">
        <v>309</v>
      </c>
      <c r="L96" s="20">
        <f>AB96</f>
        <v>207.846096908265</v>
      </c>
      <c r="M96" s="29" t="s">
        <v>309</v>
      </c>
      <c r="N96" s="20">
        <f>AC96</f>
        <v>207.84609690826545</v>
      </c>
      <c r="O96" s="28" t="s">
        <v>309</v>
      </c>
      <c r="P96" s="1"/>
      <c r="V96" s="623" t="s">
        <v>104</v>
      </c>
      <c r="W96">
        <f>IMABS(W98)</f>
        <v>207.84609690826545</v>
      </c>
      <c r="X96">
        <f>IMABS(X98)</f>
        <v>207.846096908265</v>
      </c>
      <c r="Y96">
        <f>IMABS(Y98)</f>
        <v>207.84609690826545</v>
      </c>
      <c r="Z96" s="90" t="s">
        <v>293</v>
      </c>
      <c r="AA96">
        <f>IMABS(AA98)</f>
        <v>207.84609690826545</v>
      </c>
      <c r="AB96">
        <f>IMABS(AB98)</f>
        <v>207.846096908265</v>
      </c>
      <c r="AC96">
        <f>IMABS(AC98)</f>
        <v>207.84609690826545</v>
      </c>
    </row>
    <row r="97" spans="1:30" x14ac:dyDescent="0.2">
      <c r="A97" s="1"/>
      <c r="B97" s="23" t="s">
        <v>211</v>
      </c>
      <c r="C97" s="1"/>
      <c r="D97" s="12">
        <f>IF(D90="On",(((VLOOKUP($D91,Data!$R$4:$U$62,2,FALSE)*$E91)+(VLOOKUP($D92,Data!$R$4:$U$62,2,FALSE)*$E92))/$D96)*Data!$R$3,0)</f>
        <v>13.279056191361381</v>
      </c>
      <c r="E97" s="13" t="str">
        <f>IF(D97&gt;Data!$AF$7,"&lt;OVER",IF(D97&gt;Data!$AG$7,"&lt;Not UL","A RMS"))</f>
        <v>A RMS</v>
      </c>
      <c r="F97" s="14">
        <f>IF(F90="On",(((VLOOKUP($F91,Data!$R$4:$U$62,2,FALSE)*$G91)+(VLOOKUP($F92,Data!$R$4:$U$62,2,FALSE)*$G92))/$F96)*Data!$R$3,0)</f>
        <v>13.279056191361409</v>
      </c>
      <c r="G97" s="13" t="str">
        <f>IF(F97&gt;Data!$AF$7,"&lt;OVER",IF(F97&gt;Data!$AG$7,"&lt;Not UL","A RMS"))</f>
        <v>A RMS</v>
      </c>
      <c r="H97" s="14">
        <f>IF(H90="On",(((VLOOKUP($H91,Data!$R$4:$U$62,2,FALSE)*$I91)+(VLOOKUP($H92,Data!$R$4:$U$62,2,FALSE)*$I92))/H96)*Data!$R$3,0)</f>
        <v>13.279056191361381</v>
      </c>
      <c r="I97" s="13" t="str">
        <f>IF(H97&gt;Data!$AF$7,"&lt;OVER",IF(H97&gt;Data!$AG$7,"&lt;Not UL","A RMS"))</f>
        <v>A RMS</v>
      </c>
      <c r="J97" s="14">
        <f>IF(J90="On",(((VLOOKUP($J91,Data!$R$4:$U$62,2,FALSE)*$K91)+(VLOOKUP($J92,Data!$R$4:$U$62,2,FALSE)*$K92))/$J96)*Data!$R$3,0)</f>
        <v>11.065880159467818</v>
      </c>
      <c r="K97" s="13" t="str">
        <f>IF(J97&gt;Data!$AF$7,"&lt;OVER",IF(J97&gt;Data!$AG$7,"&lt;Not UL","A RMS"))</f>
        <v>A RMS</v>
      </c>
      <c r="L97" s="14">
        <f>IF(L90="On",(((VLOOKUP($L91,Data!$R$4:$U$62,2,FALSE)*$M91)+(VLOOKUP($L92,Data!$R$4:$U$62,2,FALSE)*$M92))/$L96)*Data!$R$3,0)</f>
        <v>11.065880159467842</v>
      </c>
      <c r="M97" s="13" t="str">
        <f>IF(L97&gt;Data!$AF$7,"&lt;OVER",IF(L97&gt;Data!$AG$7,"&lt;Not UL","A RMS"))</f>
        <v>A RMS</v>
      </c>
      <c r="N97" s="14">
        <f>IF(N90="On",(((VLOOKUP($N91,Data!$R$4:$U$62,2,FALSE)*$O91)+(VLOOKUP($N92,Data!$R$4:$U$62,2,FALSE)*$O92))/$N96)*Data!$R$3,0)</f>
        <v>11.065880159467818</v>
      </c>
      <c r="O97" s="15" t="str">
        <f>IF(N97&gt;Data!$AF$7,"&lt;OVER",IF(N97&gt;Data!$AG$7,"&lt;Not UL","A RMS"))</f>
        <v>A RMS</v>
      </c>
      <c r="P97" s="1"/>
      <c r="V97" s="623"/>
      <c r="W97">
        <f>DEGREES(IMARGUMENT(W98))</f>
        <v>30.000000000000085</v>
      </c>
      <c r="X97">
        <f>DEGREES(IMARGUMENT(X98))</f>
        <v>-90</v>
      </c>
      <c r="Y97">
        <f>DEGREES(IMARGUMENT(Y98))</f>
        <v>149.99999999999991</v>
      </c>
      <c r="Z97" s="90" t="s">
        <v>296</v>
      </c>
      <c r="AA97">
        <f>DEGREES(IMARGUMENT(AA98))</f>
        <v>30.000000000000085</v>
      </c>
      <c r="AB97">
        <f>DEGREES(IMARGUMENT(AB98))</f>
        <v>-90</v>
      </c>
      <c r="AC97">
        <f>DEGREES(IMARGUMENT(AC98))</f>
        <v>149.99999999999991</v>
      </c>
    </row>
    <row r="98" spans="1:30" x14ac:dyDescent="0.2">
      <c r="A98" s="1"/>
      <c r="B98" s="23" t="s">
        <v>199</v>
      </c>
      <c r="C98" s="1"/>
      <c r="D98" s="12">
        <f>IF(D90="On",(((VLOOKUP($D91,Data!$R$4:$U$62,3,FALSE)*$E91)+(VLOOKUP($D92,Data!$R$4:$U$62,3,FALSE)*$E92))/$D96)*Data!$R$3,0)</f>
        <v>20.361219493420784</v>
      </c>
      <c r="E98" s="13" t="s">
        <v>116</v>
      </c>
      <c r="F98" s="14">
        <f>IF(F90="On",(((VLOOKUP($F91,Data!$R$4:$U$62,3,FALSE)*$G91)+(VLOOKUP($F92,Data!$R$4:$U$62,3,FALSE)*$G92))/$F96)*Data!$R$3,0)</f>
        <v>20.36121949342083</v>
      </c>
      <c r="G98" s="13" t="s">
        <v>116</v>
      </c>
      <c r="H98" s="14">
        <f>IF(H90="On",(((VLOOKUP($H91,Data!$R$4:$U$62,3,FALSE)*$I91)+(VLOOKUP($H92,Data!$R$4:$U$62,3,FALSE)*$I92))/$H96)*Data!$R$3,0)</f>
        <v>20.361219493420784</v>
      </c>
      <c r="I98" s="13" t="s">
        <v>116</v>
      </c>
      <c r="J98" s="14">
        <f>IF(J90="On",(((VLOOKUP($J91,Data!$R$4:$U$62,3,FALSE)*$K91)+(VLOOKUP($J92,Data!$R$4:$U$62,3,FALSE)*$K92))/$J96)*Data!$R$3,0)</f>
        <v>20.803854699799498</v>
      </c>
      <c r="K98" s="13" t="s">
        <v>116</v>
      </c>
      <c r="L98" s="14">
        <f>IF(L90="On",(((VLOOKUP($L91,Data!$R$4:$U$62,3,FALSE)*$M91)+(VLOOKUP($L92,Data!$R$4:$U$62,3,FALSE)*$M92))/$L96)*Data!$R$3,0)</f>
        <v>20.803854699799544</v>
      </c>
      <c r="M98" s="13" t="s">
        <v>116</v>
      </c>
      <c r="N98" s="14">
        <f>IF(N90="On",(((VLOOKUP($N91,Data!$R$4:$U$62,3,FALSE)*$O91)+(VLOOKUP($N92,Data!$R$4:$U$62,3,FALSE)*$O92))/$N96)*Data!$R$3,0)</f>
        <v>20.803854699799498</v>
      </c>
      <c r="O98" s="15" t="s">
        <v>116</v>
      </c>
      <c r="P98" s="1"/>
      <c r="V98" s="623"/>
      <c r="W98" t="str">
        <f>COMPLEX((W82-X82),(W83-X83))</f>
        <v>180+103.923048454133i</v>
      </c>
      <c r="X98" t="str">
        <f>COMPLEX(X82-Y82,X83-Y83)</f>
        <v>-207.846096908265i</v>
      </c>
      <c r="Y98" t="str">
        <f>COMPLEX(Y82-W82,Y83-W83)</f>
        <v>-180+103.923048454133i</v>
      </c>
      <c r="Z98" s="94" t="s">
        <v>306</v>
      </c>
      <c r="AA98" t="str">
        <f>COMPLEX(AA82-AB82,AA83-AB83)</f>
        <v>180+103.923048454133i</v>
      </c>
      <c r="AB98" t="str">
        <f>COMPLEX(AB82-AC82,AB83-AC83)</f>
        <v>-207.846096908265i</v>
      </c>
      <c r="AC98" t="str">
        <f>COMPLEX(AC82-AA82,AC83-AA83)</f>
        <v>-180+103.923048454133i</v>
      </c>
    </row>
    <row r="99" spans="1:30" x14ac:dyDescent="0.2">
      <c r="A99" s="1"/>
      <c r="B99" s="23" t="s">
        <v>200</v>
      </c>
      <c r="C99" s="1"/>
      <c r="D99" s="12">
        <f>IF(D90="On",(((VLOOKUP($D91,Data!$R$4:$U$62,4,FALSE)*$E91)+(VLOOKUP($D92,Data!$R$4:$U$62,4,FALSE)*$E92))/$D96)*Data!$R$3,0)</f>
        <v>55.772036003717801</v>
      </c>
      <c r="E99" s="13" t="str">
        <f>IF(D99&gt;Data!$AF$8,"&lt;OVER!","A Pk")</f>
        <v>A Pk</v>
      </c>
      <c r="F99" s="14">
        <f>IF(F90="On",(((VLOOKUP($F91,Data!$R$4:$U$62,4,FALSE)*$G91)+(VLOOKUP($F92,Data!$R$4:$U$62,4,FALSE)*$G92))/$F96)*Data!$R$3,0)</f>
        <v>55.772036003717922</v>
      </c>
      <c r="G99" s="13" t="str">
        <f>IF(F99&gt;Data!$AF$8,"&lt;OVER!","A Pk")</f>
        <v>A Pk</v>
      </c>
      <c r="H99" s="14">
        <f>IF(H90="On",(((VLOOKUP($H91,Data!$R$4:$U$62,4,FALSE)*$I91)+(VLOOKUP($H92,Data!$R$4:$U$62,4,FALSE)*$I92))/$H96)*Data!$R$3,)</f>
        <v>55.772036003717801</v>
      </c>
      <c r="I99" s="13" t="str">
        <f>IF(H99&gt;Data!$AF$8,"&lt;OVER!","A Pk")</f>
        <v>A Pk</v>
      </c>
      <c r="J99" s="14">
        <f>IF(J90="On",(((VLOOKUP($J91,Data!$R$4:$U$62,4,FALSE)*$K91)+(VLOOKUP($J92,Data!$R$4:$U$62,4,FALSE)*$K92))/$J96)*Data!$R$3,0)</f>
        <v>40.722438986841567</v>
      </c>
      <c r="K99" s="13" t="str">
        <f>IF(J99&gt;Data!$AF$8,"&lt;OVER!","A Pk")</f>
        <v>A Pk</v>
      </c>
      <c r="L99" s="14">
        <f>IF(L90="On",(((VLOOKUP($L91,Data!$R$4:$U$62,4,FALSE)*$M91)+(VLOOKUP($L92,Data!$R$4:$U$62,4,FALSE)*$M92))/$L96)*Data!$R$3,0)</f>
        <v>40.722438986841659</v>
      </c>
      <c r="M99" s="13" t="str">
        <f>IF(L99&gt;Data!$AF$8,"&lt;OVER!","A Pk")</f>
        <v>A Pk</v>
      </c>
      <c r="N99" s="14">
        <f>IF(N90="On",(((VLOOKUP($N91,Data!$R$4:$U$62,4,FALSE)*$O91)+(VLOOKUP($N92,Data!$R$4:$U$62,4,FALSE)*$O92))/$N96)*Data!$R$3,0)</f>
        <v>40.722438986841567</v>
      </c>
      <c r="O99" s="15" t="str">
        <f>IF(N99&gt;Data!$AF$8,"&lt;OVER!","A Pk")</f>
        <v>A Pk</v>
      </c>
      <c r="P99" s="1"/>
      <c r="V99" s="623" t="s">
        <v>310</v>
      </c>
      <c r="W99" s="93"/>
      <c r="X99" s="93"/>
      <c r="Y99" s="93"/>
      <c r="Z99" s="94"/>
      <c r="AA99" s="93"/>
      <c r="AB99" s="93"/>
      <c r="AC99" s="93"/>
    </row>
    <row r="100" spans="1:30" ht="6" customHeight="1" x14ac:dyDescent="0.2">
      <c r="A100" s="1"/>
      <c r="B100" s="23"/>
      <c r="C100" s="1"/>
      <c r="D100" s="12"/>
      <c r="E100" s="16"/>
      <c r="F100" s="14"/>
      <c r="G100" s="16"/>
      <c r="H100" s="14"/>
      <c r="I100" s="16"/>
      <c r="J100" s="14"/>
      <c r="K100" s="16"/>
      <c r="L100" s="14"/>
      <c r="M100" s="16"/>
      <c r="N100" s="14"/>
      <c r="O100" s="15"/>
      <c r="P100" s="1"/>
      <c r="V100" s="623"/>
      <c r="Z100" s="94"/>
    </row>
    <row r="101" spans="1:30" x14ac:dyDescent="0.2">
      <c r="A101" s="1"/>
      <c r="B101" s="23" t="s">
        <v>212</v>
      </c>
      <c r="C101" s="1"/>
      <c r="D101" s="17">
        <f>(17*(10^-8))*(((2*D93)/3.280839895)/(((PI()/4)*((0.127*(92^((36-O82)/39)))^2))*(10^-5)))</f>
        <v>0.31320372803044888</v>
      </c>
      <c r="E101" s="16" t="s">
        <v>213</v>
      </c>
      <c r="F101" s="18">
        <f>(17*(10^-8))*(((2*F93)/3.280839895)/(((PI()/4)*((0.127*(92^((36-O82)/39)))^2))*(10^-5)))</f>
        <v>0.31320372803044888</v>
      </c>
      <c r="G101" s="16" t="s">
        <v>213</v>
      </c>
      <c r="H101" s="18">
        <f>(17*(10^-8))*(((2*H93)/3.280839895)/(((PI()/4)*((0.127*(92^((36-O82)/39)))^2))*(10^-5)))</f>
        <v>0.31320372803044888</v>
      </c>
      <c r="I101" s="16" t="s">
        <v>213</v>
      </c>
      <c r="J101" s="18">
        <f>(17*(10^-8))*(((2*J93)/3.280839895)/(((PI()/4)*((0.127*(92^((36-O82)/39)))^2))*(10^-5)))</f>
        <v>0.31320372803044888</v>
      </c>
      <c r="K101" s="16" t="s">
        <v>213</v>
      </c>
      <c r="L101" s="18">
        <f>(17*(10^-8))*(((2*L93)/3.280839895)/(((PI()/4)*((0.127*(92^((36-O82)/39)))^2))*(10^-5)))</f>
        <v>0.31320372803044888</v>
      </c>
      <c r="M101" s="16" t="s">
        <v>213</v>
      </c>
      <c r="N101" s="18">
        <f>(17*(10^-8))*(((2*N93)/3.280839895)/(((PI()/4)*((0.127*(92^((36-O82)/39)))^2))*(10^-5)))</f>
        <v>0.31320372803044888</v>
      </c>
      <c r="O101" s="15" t="s">
        <v>213</v>
      </c>
      <c r="P101" s="1"/>
      <c r="V101" s="623"/>
      <c r="W101" t="str">
        <f>IF(D90="On",COMPLEX((D97*COS(RADIANS(30))),(D97*SIN(RADIANS(30)))),COMPLEX((0*COS(RADIANS(30))),(0*SIN(RADIANS(30)))))</f>
        <v>11.5+6.63952809568069i</v>
      </c>
      <c r="X101" t="str">
        <f>IF(F90="On",COMPLEX((F97*COS(RADIANS(-90))),(F97*SIN(RADIANS(-90)))),COMPLEX((0*COS(RADIANS(-90))),(0*SIN(RADIANS(-90)))))</f>
        <v>8.13440758774559E-16-13.2790561913614i</v>
      </c>
      <c r="Y101" t="str">
        <f>IF(H90="On",COMPLEX((H97*COS(RADIANS(150))),(H97*SIN(RADIANS(150)))),COMPLEX((0*COS(RADIANS(150))),(0*SIN(RADIANS(150)))))</f>
        <v>-11.5+6.63952809568069i</v>
      </c>
      <c r="Z101" s="94" t="s">
        <v>306</v>
      </c>
      <c r="AA101" t="str">
        <f>IF(J90="On",COMPLEX(J97*COS(RADIANS(30)),J97*SIN(RADIANS(30))),COMPLEX(0*COS(RADIANS(30)),0*SIN(RADIANS(30))))</f>
        <v>9.58333333333333+5.53294007973391i</v>
      </c>
      <c r="AB101" t="str">
        <f>IF(L90="On",COMPLEX(L97*COS(RADIANS(-90)),L97*SIN(RADIANS(-90))),COMPLEX(0*COS(RADIANS(-90)),0*SIN(RADIANS(-90))))</f>
        <v>6.77867298978799E-16-11.0658801594678i</v>
      </c>
      <c r="AC101" t="str">
        <f>IF(N90="On",COMPLEX(N97*COS(RADIANS(150)),N97*SIN(RADIANS(150))),COMPLEX(0*COS(RADIANS(150)),0*SIN(RADIANS(150))))</f>
        <v>-9.58333333333333+5.53294007973391i</v>
      </c>
    </row>
    <row r="102" spans="1:30" x14ac:dyDescent="0.2">
      <c r="A102" s="1"/>
      <c r="B102" s="23" t="s">
        <v>214</v>
      </c>
      <c r="C102" s="1"/>
      <c r="D102" s="19">
        <f>D96*SQRT(2)</f>
        <v>293.93876913398162</v>
      </c>
      <c r="E102" s="16" t="s">
        <v>215</v>
      </c>
      <c r="F102" s="20">
        <f>F96*SQRT(2)</f>
        <v>293.938769133981</v>
      </c>
      <c r="G102" s="16" t="s">
        <v>215</v>
      </c>
      <c r="H102" s="20">
        <f>H96*SQRT(2)</f>
        <v>293.93876913398162</v>
      </c>
      <c r="I102" s="16" t="s">
        <v>215</v>
      </c>
      <c r="J102" s="20">
        <f>J96*SQRT(2)</f>
        <v>293.93876913398162</v>
      </c>
      <c r="K102" s="16" t="s">
        <v>215</v>
      </c>
      <c r="L102" s="20">
        <f>L96*SQRT(2)</f>
        <v>293.938769133981</v>
      </c>
      <c r="M102" s="16" t="s">
        <v>215</v>
      </c>
      <c r="N102" s="20">
        <f>N96*SQRT(2)</f>
        <v>293.93876913398162</v>
      </c>
      <c r="O102" s="15" t="s">
        <v>215</v>
      </c>
      <c r="P102" s="1"/>
      <c r="V102" s="623"/>
      <c r="W102" t="str">
        <f>IF(D90="On",COMPLEX(-(D97*COS(RADIANS(30))),-(D97*SIN(RADIANS(30)))),COMPLEX(-(0*COS(RADIANS(30))),-(0*SIN(RADIANS(30)))))</f>
        <v>-11.5-6.63952809568069i</v>
      </c>
      <c r="X102" t="str">
        <f>IF(F90="On",COMPLEX(-(F97*COS(RADIANS(-90))),-(F97*SIN(RADIANS(-90)))),COMPLEX(-(0*COS(RADIANS(-90))),-(0*SIN(RADIANS(-90)))))</f>
        <v>-8.13440758774559E-16+13.2790561913614i</v>
      </c>
      <c r="Y102" t="str">
        <f>IF(H90="On",COMPLEX(-(H97*COS(RADIANS(150))),-(H97*SIN(RADIANS(150)))),COMPLEX(-(0*COS(RADIANS(150))),-(0*SIN(RADIANS(150)))))</f>
        <v>11.5-6.63952809568069i</v>
      </c>
      <c r="Z102" s="96" t="s">
        <v>308</v>
      </c>
      <c r="AA102" t="str">
        <f>IF(J90="On",COMPLEX(-(J97*COS(RADIANS(30))),-(J97*SIN(RADIANS(30)))),COMPLEX(-(0*COS(RADIANS(30))),-(0*SIN(RADIANS(30)))))</f>
        <v>-9.58333333333333-5.53294007973391i</v>
      </c>
      <c r="AB102" t="str">
        <f>IF(L90="On",COMPLEX(-(L97*COS(RADIANS(-90))),-(L97*SIN(RADIANS(-90)))),COMPLEX(-(0*COS(RADIANS(-90))),-(0*SIN(RADIANS(-90)))))</f>
        <v>-6.77867298978799E-16+11.0658801594678i</v>
      </c>
      <c r="AC102" t="str">
        <f>IF(N90="On",COMPLEX(-(N97*COS(RADIANS(150))),-(N97*SIN(RADIANS(150)))),COMPLEX(-(0*COS(RADIANS(150))),-(0*SIN(RADIANS(150)))))</f>
        <v>9.58333333333333-5.53294007973391i</v>
      </c>
    </row>
    <row r="103" spans="1:30" x14ac:dyDescent="0.2">
      <c r="A103" s="1"/>
      <c r="B103" s="23" t="s">
        <v>223</v>
      </c>
      <c r="C103" s="1"/>
      <c r="D103" s="12">
        <f>D99*D101</f>
        <v>17.468009596212834</v>
      </c>
      <c r="E103" s="16" t="s">
        <v>215</v>
      </c>
      <c r="F103" s="14">
        <f>F99*F101</f>
        <v>17.46800959621287</v>
      </c>
      <c r="G103" s="16" t="s">
        <v>215</v>
      </c>
      <c r="H103" s="14">
        <f>H99*H101</f>
        <v>17.468009596212834</v>
      </c>
      <c r="I103" s="16" t="s">
        <v>215</v>
      </c>
      <c r="J103" s="14">
        <f>J99*J101</f>
        <v>12.754419705171275</v>
      </c>
      <c r="K103" s="16" t="s">
        <v>215</v>
      </c>
      <c r="L103" s="14">
        <f>L99*L101</f>
        <v>12.754419705171303</v>
      </c>
      <c r="M103" s="16" t="s">
        <v>215</v>
      </c>
      <c r="N103" s="14">
        <f>N99*N101</f>
        <v>12.754419705171275</v>
      </c>
      <c r="O103" s="15" t="s">
        <v>215</v>
      </c>
      <c r="P103" s="1"/>
      <c r="V103" s="623"/>
      <c r="Z103" s="90" t="s">
        <v>305</v>
      </c>
    </row>
    <row r="104" spans="1:30" x14ac:dyDescent="0.2">
      <c r="A104" s="1"/>
      <c r="B104" s="23" t="s">
        <v>225</v>
      </c>
      <c r="C104" s="1"/>
      <c r="D104" s="19">
        <f>D102-D103</f>
        <v>276.4707595377688</v>
      </c>
      <c r="E104" s="16" t="s">
        <v>215</v>
      </c>
      <c r="F104" s="20">
        <f>F102-F103</f>
        <v>276.47075953776812</v>
      </c>
      <c r="G104" s="16" t="s">
        <v>215</v>
      </c>
      <c r="H104" s="20">
        <f>H102-H103</f>
        <v>276.4707595377688</v>
      </c>
      <c r="I104" s="16" t="s">
        <v>215</v>
      </c>
      <c r="J104" s="20">
        <f>J102-J103</f>
        <v>281.18434942881032</v>
      </c>
      <c r="K104" s="16" t="s">
        <v>215</v>
      </c>
      <c r="L104" s="20">
        <f>L102-L103</f>
        <v>281.1843494288097</v>
      </c>
      <c r="M104" s="16" t="s">
        <v>215</v>
      </c>
      <c r="N104" s="20">
        <f>N102-N103</f>
        <v>281.18434942881032</v>
      </c>
      <c r="O104" s="15" t="s">
        <v>215</v>
      </c>
      <c r="P104" s="1"/>
      <c r="Q104" s="571" t="s">
        <v>316</v>
      </c>
      <c r="S104" s="89"/>
      <c r="T104" s="90" t="s">
        <v>166</v>
      </c>
      <c r="U104" s="90" t="s">
        <v>167</v>
      </c>
      <c r="V104" s="90" t="s">
        <v>168</v>
      </c>
      <c r="W104" s="90"/>
      <c r="X104" s="89"/>
      <c r="Y104" s="90" t="s">
        <v>217</v>
      </c>
      <c r="Z104" s="90" t="s">
        <v>218</v>
      </c>
      <c r="AA104" s="90" t="s">
        <v>219</v>
      </c>
      <c r="AB104" s="90" t="s">
        <v>220</v>
      </c>
      <c r="AC104" s="90" t="s">
        <v>221</v>
      </c>
      <c r="AD104" s="90" t="s">
        <v>222</v>
      </c>
    </row>
    <row r="105" spans="1:30" ht="17" thickBot="1" x14ac:dyDescent="0.25">
      <c r="A105" s="1"/>
      <c r="B105" s="24" t="s">
        <v>227</v>
      </c>
      <c r="C105" s="1"/>
      <c r="D105" s="141">
        <f>(D103*100)/D102</f>
        <v>5.9427375462168648</v>
      </c>
      <c r="E105" s="21" t="str">
        <f>IF(D105&gt;Data!$AF$13,"&lt;OVER!","% V Pk")</f>
        <v>% V Pk</v>
      </c>
      <c r="F105" s="142">
        <f>(F103*100)/F102</f>
        <v>5.9427375462168888</v>
      </c>
      <c r="G105" s="21" t="str">
        <f>IF(F105&gt;Data!$AF$13,"&lt;OVER!","% V Pk")</f>
        <v>% V Pk</v>
      </c>
      <c r="H105" s="142">
        <f>(H103*100)/H102</f>
        <v>5.9427375462168648</v>
      </c>
      <c r="I105" s="21" t="str">
        <f>IF(H105&gt;Data!$AF$13,"&lt;OVER!","% V Pk")</f>
        <v>% V Pk</v>
      </c>
      <c r="J105" s="142">
        <f>(J103*100)/J102</f>
        <v>4.3391417004123136</v>
      </c>
      <c r="K105" s="21" t="str">
        <f>IF(J105&gt;Data!$AF$13,"&lt;OVER!","% V Pk")</f>
        <v>% V Pk</v>
      </c>
      <c r="L105" s="142">
        <f>(L103*100)/L102</f>
        <v>4.3391417004123323</v>
      </c>
      <c r="M105" s="21" t="str">
        <f>IF(L105&gt;Data!$AF$13,"&lt;OVER!","% V Pk")</f>
        <v>% V Pk</v>
      </c>
      <c r="N105" s="142">
        <f>(N103*100)/N102</f>
        <v>4.3391417004123136</v>
      </c>
      <c r="O105" s="22" t="str">
        <f>IF(N105&gt;Data!$AF$13,"&lt;OVER!","% V Pk")</f>
        <v>% V Pk</v>
      </c>
      <c r="P105" s="1"/>
      <c r="Q105" s="571"/>
      <c r="S105" s="89" t="s">
        <v>224</v>
      </c>
      <c r="T105" s="90">
        <f>Data!$AF$6</f>
        <v>30</v>
      </c>
      <c r="U105" s="90">
        <f>Data!$AF$6</f>
        <v>30</v>
      </c>
      <c r="V105" s="90">
        <f>Data!$AF$6</f>
        <v>30</v>
      </c>
      <c r="W105" s="90"/>
      <c r="X105" s="89" t="s">
        <v>224</v>
      </c>
      <c r="Y105" s="90">
        <f>Data!$AF$7</f>
        <v>20</v>
      </c>
      <c r="Z105" s="90">
        <f>Data!$AF$7</f>
        <v>20</v>
      </c>
      <c r="AA105" s="90">
        <f>Data!$AF$7</f>
        <v>20</v>
      </c>
      <c r="AB105" s="90">
        <f>Data!$AF$7</f>
        <v>20</v>
      </c>
      <c r="AC105" s="90">
        <f>Data!$AF$7</f>
        <v>20</v>
      </c>
      <c r="AD105" s="90">
        <f>Data!$AF$7</f>
        <v>20</v>
      </c>
    </row>
    <row r="106" spans="1:30" x14ac:dyDescent="0.2">
      <c r="A106" s="1"/>
      <c r="B106" s="1"/>
      <c r="C106" s="1"/>
      <c r="D106" s="1"/>
      <c r="E106" s="1"/>
      <c r="F106" s="1"/>
      <c r="G106" s="1"/>
      <c r="H106" s="1"/>
      <c r="I106" s="1"/>
      <c r="J106" s="1"/>
      <c r="K106" s="1"/>
      <c r="L106" s="1"/>
      <c r="M106" s="1"/>
      <c r="N106" s="1"/>
      <c r="O106" s="1"/>
      <c r="P106" s="1"/>
      <c r="Q106" s="571"/>
      <c r="S106" s="89" t="s">
        <v>312</v>
      </c>
      <c r="T106" s="90">
        <f>Data!$AG$6</f>
        <v>24</v>
      </c>
      <c r="U106" s="90">
        <f>Data!$AG$6</f>
        <v>24</v>
      </c>
      <c r="V106" s="90">
        <f>Data!$AG$6</f>
        <v>24</v>
      </c>
      <c r="W106" s="90"/>
      <c r="X106" s="89" t="s">
        <v>312</v>
      </c>
      <c r="Y106" s="90">
        <f>Data!$AG$7</f>
        <v>16</v>
      </c>
      <c r="Z106" s="90">
        <f>Data!$AG$7</f>
        <v>16</v>
      </c>
      <c r="AA106" s="90">
        <f>Data!$AG$7</f>
        <v>16</v>
      </c>
      <c r="AB106" s="90">
        <f>Data!$AG$7</f>
        <v>16</v>
      </c>
      <c r="AC106" s="90">
        <f>Data!$AG$7</f>
        <v>16</v>
      </c>
      <c r="AD106" s="90">
        <f>Data!$AG$7</f>
        <v>16</v>
      </c>
    </row>
    <row r="107" spans="1:30" x14ac:dyDescent="0.2">
      <c r="A107" s="1"/>
      <c r="B107" s="1"/>
      <c r="C107" s="1"/>
      <c r="D107" s="1"/>
      <c r="E107" s="1"/>
      <c r="F107" s="1"/>
      <c r="G107" s="1"/>
      <c r="H107" s="1"/>
      <c r="I107" s="1"/>
      <c r="J107" s="1"/>
      <c r="K107" s="1"/>
      <c r="L107" s="1"/>
      <c r="M107" s="1"/>
      <c r="N107" s="1"/>
      <c r="O107" s="1"/>
      <c r="P107" s="1"/>
      <c r="Q107" s="571"/>
      <c r="S107" s="89" t="str">
        <f>'US MDM-5000'!B85</f>
        <v>MLTC A RMS</v>
      </c>
      <c r="T107" s="90">
        <f>'US MDM-5000'!D85</f>
        <v>23</v>
      </c>
      <c r="U107" s="90">
        <f>'US MDM-5000'!F85</f>
        <v>23.000000000000014</v>
      </c>
      <c r="V107" s="90">
        <f>'US MDM-5000'!H85</f>
        <v>19.166666666666629</v>
      </c>
      <c r="W107" s="90"/>
      <c r="X107" s="89" t="s">
        <v>226</v>
      </c>
      <c r="Y107" s="90">
        <f>Data!$AF$8</f>
        <v>80</v>
      </c>
      <c r="Z107" s="90">
        <f>Data!$AF$8</f>
        <v>80</v>
      </c>
      <c r="AA107" s="90">
        <f>Data!$AF$8</f>
        <v>80</v>
      </c>
      <c r="AB107" s="90">
        <f>Data!$AF$8</f>
        <v>80</v>
      </c>
      <c r="AC107" s="90">
        <f>Data!$AF$8</f>
        <v>80</v>
      </c>
      <c r="AD107" s="90">
        <f>Data!$AF$8</f>
        <v>80</v>
      </c>
    </row>
    <row r="108" spans="1:30" x14ac:dyDescent="0.2">
      <c r="A108" s="1"/>
      <c r="B108" s="1"/>
      <c r="C108" s="1"/>
      <c r="D108" s="1"/>
      <c r="E108" s="1"/>
      <c r="F108" s="1"/>
      <c r="G108" s="1"/>
      <c r="H108" s="1"/>
      <c r="I108" s="1"/>
      <c r="J108" s="1"/>
      <c r="K108" s="1"/>
      <c r="L108" s="1"/>
      <c r="M108" s="1"/>
      <c r="N108" s="1"/>
      <c r="O108" s="1"/>
      <c r="P108" s="1"/>
      <c r="Q108" s="571"/>
      <c r="S108" s="89" t="str">
        <f>'US MDM-5000'!B86</f>
        <v>Apparent Power</v>
      </c>
      <c r="T108" s="90">
        <f>'US MDM-5000'!D86</f>
        <v>4231.9999999999918</v>
      </c>
      <c r="U108" s="90">
        <f>'US MDM-5000'!F86</f>
        <v>4231.9999999999973</v>
      </c>
      <c r="V108" s="90">
        <f>'US MDM-5000'!H86</f>
        <v>4323.9999999999945</v>
      </c>
      <c r="W108" s="90"/>
      <c r="X108" s="89" t="str">
        <f>'US MDM-5000'!B97</f>
        <v>MLTC RMS</v>
      </c>
      <c r="Y108" s="91">
        <f>'US MDM-5000'!$D97</f>
        <v>13.279056191361381</v>
      </c>
      <c r="Z108" s="91">
        <f>'US MDM-5000'!F97</f>
        <v>13.279056191361409</v>
      </c>
      <c r="AA108" s="90">
        <f>'US MDM-5000'!H97</f>
        <v>13.279056191361381</v>
      </c>
      <c r="AB108" s="90">
        <f>'US MDM-5000'!J97</f>
        <v>11.065880159467818</v>
      </c>
      <c r="AC108" s="90">
        <f>'US MDM-5000'!L97</f>
        <v>11.065880159467842</v>
      </c>
      <c r="AD108" s="90">
        <f>'US MDM-5000'!N97</f>
        <v>11.065880159467818</v>
      </c>
    </row>
    <row r="109" spans="1:30" x14ac:dyDescent="0.2">
      <c r="A109" s="1"/>
      <c r="B109" s="1"/>
      <c r="C109" s="1"/>
      <c r="D109" s="1"/>
      <c r="E109" s="1"/>
      <c r="F109" s="1"/>
      <c r="G109" s="1"/>
      <c r="H109" s="1"/>
      <c r="I109" s="1"/>
      <c r="J109" s="1"/>
      <c r="K109" s="1"/>
      <c r="L109" s="1"/>
      <c r="M109" s="1"/>
      <c r="N109" s="1"/>
      <c r="O109" s="1"/>
      <c r="P109" s="1"/>
      <c r="Q109" s="571"/>
      <c r="S109" s="89" t="str">
        <f>'US MDM-5000'!B87</f>
        <v>Real Power</v>
      </c>
      <c r="T109" s="90">
        <f>'US MDM-5000'!D87</f>
        <v>2760</v>
      </c>
      <c r="U109" s="90">
        <f>'US MDM-5000'!F87</f>
        <v>2760.0000000000018</v>
      </c>
      <c r="V109" s="90">
        <f>'US MDM-5000'!H87</f>
        <v>2299.9999999999955</v>
      </c>
      <c r="W109" s="90"/>
      <c r="X109" s="89" t="str">
        <f>'US MDM-5000'!B98</f>
        <v>Burst RMS</v>
      </c>
      <c r="Y109" s="90">
        <f>'US MDM-5000'!D98</f>
        <v>20.361219493420784</v>
      </c>
      <c r="Z109" s="90">
        <f>'US MDM-5000'!F98</f>
        <v>20.36121949342083</v>
      </c>
      <c r="AA109" s="90">
        <f>'US MDM-5000'!H98</f>
        <v>20.361219493420784</v>
      </c>
      <c r="AB109" s="90">
        <f>'US MDM-5000'!J98</f>
        <v>20.803854699799498</v>
      </c>
      <c r="AC109" s="90">
        <f>'US MDM-5000'!L98</f>
        <v>20.803854699799544</v>
      </c>
      <c r="AD109" s="90">
        <f>'US MDM-5000'!N98</f>
        <v>20.803854699799498</v>
      </c>
    </row>
    <row r="110" spans="1:30" x14ac:dyDescent="0.2">
      <c r="A110" s="1"/>
      <c r="B110" s="1"/>
      <c r="C110" s="1"/>
      <c r="D110" s="1"/>
      <c r="E110" s="1"/>
      <c r="F110" s="1"/>
      <c r="G110" s="1"/>
      <c r="H110" s="1"/>
      <c r="I110" s="1"/>
      <c r="J110" s="1"/>
      <c r="K110" s="1"/>
      <c r="L110" s="1"/>
      <c r="M110" s="1"/>
      <c r="N110" s="1"/>
      <c r="O110" s="1"/>
      <c r="P110" s="1"/>
      <c r="Q110" s="571"/>
      <c r="S110" s="89"/>
      <c r="T110" s="90"/>
      <c r="U110" s="90"/>
      <c r="V110" s="90"/>
      <c r="W110" s="90"/>
      <c r="X110" s="89" t="str">
        <f>'US MDM-5000'!B99</f>
        <v>Max Inst Pk</v>
      </c>
      <c r="Y110" s="90">
        <f>'US MDM-5000'!D99</f>
        <v>55.772036003717801</v>
      </c>
      <c r="Z110" s="90">
        <f>'US MDM-5000'!F99</f>
        <v>55.772036003717922</v>
      </c>
      <c r="AA110" s="90">
        <f>'US MDM-5000'!H99</f>
        <v>55.772036003717801</v>
      </c>
      <c r="AB110" s="90">
        <f>'US MDM-5000'!J99</f>
        <v>40.722438986841567</v>
      </c>
      <c r="AC110" s="90">
        <f>'US MDM-5000'!L99</f>
        <v>40.722438986841659</v>
      </c>
      <c r="AD110" s="90">
        <f>'US MDM-5000'!N99</f>
        <v>40.722438986841567</v>
      </c>
    </row>
    <row r="111" spans="1:30" x14ac:dyDescent="0.2">
      <c r="A111" s="1"/>
      <c r="B111" s="1"/>
      <c r="C111" s="1"/>
      <c r="D111" s="1"/>
      <c r="E111" s="1"/>
      <c r="F111" s="1"/>
      <c r="G111" s="1"/>
      <c r="H111" s="1"/>
      <c r="I111" s="1"/>
      <c r="J111" s="1"/>
      <c r="K111" s="1"/>
      <c r="L111" s="1"/>
      <c r="M111" s="1"/>
      <c r="N111" s="1"/>
      <c r="O111" s="1"/>
      <c r="P111" s="1"/>
      <c r="Q111" s="571"/>
      <c r="S111" s="89"/>
      <c r="T111" s="90"/>
      <c r="U111" s="90"/>
      <c r="V111" s="90"/>
      <c r="W111" s="90"/>
      <c r="X111" s="89"/>
      <c r="Y111" s="90"/>
      <c r="Z111" s="90"/>
      <c r="AA111" s="90"/>
      <c r="AB111" s="90"/>
      <c r="AC111" s="90"/>
      <c r="AD111" s="90"/>
    </row>
    <row r="112" spans="1:30" x14ac:dyDescent="0.2">
      <c r="A112" s="1"/>
      <c r="B112" s="1"/>
      <c r="C112" s="1"/>
      <c r="D112" s="1"/>
      <c r="E112" s="1"/>
      <c r="F112" s="1"/>
      <c r="G112" s="1"/>
      <c r="H112" s="1"/>
      <c r="I112" s="1"/>
      <c r="J112" s="1"/>
      <c r="K112" s="1"/>
      <c r="L112" s="1"/>
      <c r="M112" s="1"/>
      <c r="N112" s="1"/>
      <c r="O112" s="1"/>
      <c r="P112" s="1"/>
      <c r="Q112" s="571"/>
      <c r="S112" s="89" t="s">
        <v>228</v>
      </c>
      <c r="T112" s="90">
        <f>IF(T107&lt;=T106,(100*T107)/T105,100*T106/T105)</f>
        <v>76.666666666666671</v>
      </c>
      <c r="U112" s="90">
        <f>IF(U107&lt;=U106,(100*U107)/U105,100*U106/U105)</f>
        <v>76.666666666666714</v>
      </c>
      <c r="V112" s="90">
        <f>IF(V107&lt;=V106,(100*V107)/V105,100*V106/V105)</f>
        <v>63.888888888888765</v>
      </c>
      <c r="W112" s="90"/>
      <c r="X112" s="89" t="s">
        <v>228</v>
      </c>
      <c r="Y112" s="90">
        <f t="shared" ref="Y112:AD112" si="16">IF(Y108&lt;=Y106,(100*Y108)/Y105,100*Y106/Y105)</f>
        <v>66.3952809568069</v>
      </c>
      <c r="Z112" s="90">
        <f t="shared" si="16"/>
        <v>66.395280956807056</v>
      </c>
      <c r="AA112" s="90">
        <f t="shared" si="16"/>
        <v>66.3952809568069</v>
      </c>
      <c r="AB112" s="90">
        <f t="shared" si="16"/>
        <v>55.32940079733909</v>
      </c>
      <c r="AC112" s="90">
        <f t="shared" si="16"/>
        <v>55.329400797339211</v>
      </c>
      <c r="AD112" s="90">
        <f t="shared" si="16"/>
        <v>55.32940079733909</v>
      </c>
    </row>
    <row r="113" spans="1:30" x14ac:dyDescent="0.2">
      <c r="A113" s="1"/>
      <c r="B113" s="1"/>
      <c r="C113" s="1"/>
      <c r="D113" s="1"/>
      <c r="E113" s="1"/>
      <c r="F113" s="1"/>
      <c r="G113" s="1"/>
      <c r="H113" s="1"/>
      <c r="I113" s="1"/>
      <c r="J113" s="1"/>
      <c r="K113" s="1"/>
      <c r="L113" s="1"/>
      <c r="M113" s="1"/>
      <c r="N113" s="1"/>
      <c r="O113" s="1"/>
      <c r="P113" s="1"/>
      <c r="Q113" s="571"/>
      <c r="S113" s="89" t="s">
        <v>313</v>
      </c>
      <c r="T113">
        <f>IF(T107&lt;=T106,0,((100*T107)/T105)-T112)</f>
        <v>0</v>
      </c>
      <c r="U113">
        <f>IF(U107&lt;=U106,0,((100*U107)/U105)-U112)</f>
        <v>0</v>
      </c>
      <c r="V113">
        <f>IF(V107&lt;=V106,0,((100*V107)/V105)-V112)</f>
        <v>0</v>
      </c>
      <c r="W113" s="90"/>
      <c r="X113" s="89" t="s">
        <v>313</v>
      </c>
      <c r="Y113" s="90">
        <f t="shared" ref="Y113:AD113" si="17">IF(Y108&lt;=Y106,0,((100*Y108)/Y105)-Y112)</f>
        <v>0</v>
      </c>
      <c r="Z113" s="90">
        <f t="shared" si="17"/>
        <v>0</v>
      </c>
      <c r="AA113" s="90">
        <f t="shared" si="17"/>
        <v>0</v>
      </c>
      <c r="AB113" s="90">
        <f t="shared" si="17"/>
        <v>0</v>
      </c>
      <c r="AC113" s="90">
        <f t="shared" si="17"/>
        <v>0</v>
      </c>
      <c r="AD113" s="90">
        <f t="shared" si="17"/>
        <v>0</v>
      </c>
    </row>
    <row r="114" spans="1:30" x14ac:dyDescent="0.2">
      <c r="A114" s="1"/>
      <c r="B114" s="1"/>
      <c r="C114" s="1"/>
      <c r="D114" s="1"/>
      <c r="E114" s="1"/>
      <c r="F114" s="1"/>
      <c r="G114" s="1"/>
      <c r="H114" s="1"/>
      <c r="I114" s="1"/>
      <c r="J114" s="1"/>
      <c r="K114" s="1"/>
      <c r="L114" s="1"/>
      <c r="M114" s="1"/>
      <c r="N114" s="1"/>
      <c r="O114" s="1"/>
      <c r="P114" s="1"/>
      <c r="Q114" s="571"/>
      <c r="S114" s="89" t="s">
        <v>229</v>
      </c>
      <c r="T114" s="90">
        <f>(T112+T113)-100</f>
        <v>-23.333333333333329</v>
      </c>
      <c r="U114" s="90">
        <f>(U112+U113)-100</f>
        <v>-23.333333333333286</v>
      </c>
      <c r="V114" s="90">
        <f>(V112+V113)-100</f>
        <v>-36.111111111111235</v>
      </c>
      <c r="W114" s="90"/>
      <c r="X114" s="89" t="s">
        <v>229</v>
      </c>
      <c r="Y114" s="90">
        <f t="shared" ref="Y114:AD114" si="18">(Y112+Y113)-100</f>
        <v>-33.6047190431931</v>
      </c>
      <c r="Z114" s="90">
        <f t="shared" si="18"/>
        <v>-33.604719043192944</v>
      </c>
      <c r="AA114" s="90">
        <f t="shared" si="18"/>
        <v>-33.6047190431931</v>
      </c>
      <c r="AB114" s="90">
        <f t="shared" si="18"/>
        <v>-44.67059920266091</v>
      </c>
      <c r="AC114" s="90">
        <f t="shared" si="18"/>
        <v>-44.670599202660789</v>
      </c>
      <c r="AD114" s="90">
        <f t="shared" si="18"/>
        <v>-44.67059920266091</v>
      </c>
    </row>
    <row r="115" spans="1:30" x14ac:dyDescent="0.2">
      <c r="A115" s="1"/>
      <c r="B115" s="1"/>
      <c r="C115" s="1"/>
      <c r="D115" s="1"/>
      <c r="E115" s="1"/>
      <c r="F115" s="1"/>
      <c r="G115" s="1"/>
      <c r="H115" s="1"/>
      <c r="I115" s="1"/>
      <c r="J115" s="1"/>
      <c r="K115" s="1"/>
      <c r="L115" s="1"/>
      <c r="M115" s="1"/>
      <c r="N115" s="1"/>
      <c r="O115" s="1"/>
      <c r="P115" s="1"/>
      <c r="Q115" s="571"/>
      <c r="S115" s="89" t="s">
        <v>314</v>
      </c>
      <c r="T115">
        <f>IF(T113=0,0,IF(T113&gt;100-T112,100-T112,T113))</f>
        <v>0</v>
      </c>
      <c r="U115">
        <f>IF(U113=0,0,IF(U113&gt;100-U112,100-U112,U113))</f>
        <v>0</v>
      </c>
      <c r="V115">
        <f>IF(V113=0,0,IF(V113&gt;100-V112,100-V112,V113))</f>
        <v>0</v>
      </c>
      <c r="W115" s="90"/>
      <c r="X115" s="89" t="s">
        <v>314</v>
      </c>
      <c r="Y115" s="90">
        <f t="shared" ref="Y115:AD115" si="19">IF(Y113=0,0,IF(Y113&gt;100-Y112,100-Y112,Y113))</f>
        <v>0</v>
      </c>
      <c r="Z115" s="90">
        <f t="shared" si="19"/>
        <v>0</v>
      </c>
      <c r="AA115" s="90">
        <f t="shared" si="19"/>
        <v>0</v>
      </c>
      <c r="AB115" s="90">
        <f t="shared" si="19"/>
        <v>0</v>
      </c>
      <c r="AC115" s="90">
        <f t="shared" si="19"/>
        <v>0</v>
      </c>
      <c r="AD115" s="90">
        <f t="shared" si="19"/>
        <v>0</v>
      </c>
    </row>
    <row r="116" spans="1:30" x14ac:dyDescent="0.2">
      <c r="A116" s="1"/>
      <c r="B116" s="1"/>
      <c r="C116" s="1"/>
      <c r="D116" s="1"/>
      <c r="E116" s="1"/>
      <c r="F116" s="1"/>
      <c r="G116" s="1"/>
      <c r="H116" s="1"/>
      <c r="I116" s="1"/>
      <c r="J116" s="1"/>
      <c r="K116" s="1"/>
      <c r="L116" s="1"/>
      <c r="M116" s="1"/>
      <c r="N116" s="1"/>
      <c r="O116" s="1"/>
      <c r="P116" s="1"/>
      <c r="Q116" s="571"/>
      <c r="S116" s="89" t="s">
        <v>231</v>
      </c>
      <c r="T116" s="90" t="e">
        <f>IF(T112+T113&gt;100,(T112+T113)-(T115+T112),NA())</f>
        <v>#N/A</v>
      </c>
      <c r="U116" s="90" t="e">
        <f>IF(U112+U113&gt;100,(U112+U113)-(U115+U112),NA())</f>
        <v>#N/A</v>
      </c>
      <c r="V116" s="90" t="e">
        <f>IF(V112+V113&gt;100,(V112+V113)-(V115+V112),NA())</f>
        <v>#N/A</v>
      </c>
      <c r="W116" s="90"/>
      <c r="X116" s="89" t="s">
        <v>231</v>
      </c>
      <c r="Y116" s="90" t="e">
        <f t="shared" ref="Y116:AD116" si="20">IF(Y112+Y113&gt;100,(Y112+Y113)-(Y115+Y112),NA())</f>
        <v>#N/A</v>
      </c>
      <c r="Z116" s="90" t="e">
        <f t="shared" si="20"/>
        <v>#N/A</v>
      </c>
      <c r="AA116" s="90" t="e">
        <f t="shared" si="20"/>
        <v>#N/A</v>
      </c>
      <c r="AB116" s="90" t="e">
        <f t="shared" si="20"/>
        <v>#N/A</v>
      </c>
      <c r="AC116" s="90" t="e">
        <f t="shared" si="20"/>
        <v>#N/A</v>
      </c>
      <c r="AD116" s="90" t="e">
        <f t="shared" si="20"/>
        <v>#N/A</v>
      </c>
    </row>
    <row r="117" spans="1:30" x14ac:dyDescent="0.2">
      <c r="A117" s="1"/>
      <c r="B117" s="1"/>
      <c r="C117" s="1"/>
      <c r="D117" s="1"/>
      <c r="E117" s="1"/>
      <c r="F117" s="1"/>
      <c r="G117" s="1"/>
      <c r="H117" s="1"/>
      <c r="I117" s="1"/>
      <c r="J117" s="1"/>
      <c r="K117" s="1"/>
      <c r="L117" s="1"/>
      <c r="M117" s="1"/>
      <c r="N117" s="1"/>
      <c r="O117" s="1"/>
      <c r="P117" s="1"/>
      <c r="Q117" s="571"/>
      <c r="S117" s="89"/>
      <c r="W117" s="90"/>
      <c r="X117" s="89" t="s">
        <v>232</v>
      </c>
      <c r="Y117" s="90">
        <f>Data!$AF$13</f>
        <v>10</v>
      </c>
      <c r="Z117" s="90">
        <f>Data!$AF$13</f>
        <v>10</v>
      </c>
      <c r="AA117" s="90">
        <f>Data!$AF$13</f>
        <v>10</v>
      </c>
      <c r="AB117" s="90">
        <f>Data!$AF$13</f>
        <v>10</v>
      </c>
      <c r="AC117" s="90">
        <f>Data!$AF$13</f>
        <v>10</v>
      </c>
      <c r="AD117" s="90">
        <f>Data!$AF$13</f>
        <v>10</v>
      </c>
    </row>
    <row r="118" spans="1:30" x14ac:dyDescent="0.2">
      <c r="A118" s="1"/>
      <c r="B118" s="1"/>
      <c r="C118" s="1"/>
      <c r="D118" s="1"/>
      <c r="E118" s="1"/>
      <c r="F118" s="1"/>
      <c r="G118" s="1"/>
      <c r="H118" s="1"/>
      <c r="I118" s="1"/>
      <c r="J118" s="1"/>
      <c r="K118" s="1"/>
      <c r="L118" s="1"/>
      <c r="M118" s="1"/>
      <c r="N118" s="1"/>
      <c r="O118" s="1"/>
      <c r="P118" s="1"/>
      <c r="Q118" s="571"/>
      <c r="S118" s="89"/>
      <c r="T118" s="90"/>
      <c r="U118" s="90"/>
      <c r="V118" s="90"/>
      <c r="W118" s="90"/>
      <c r="X118" s="89" t="s">
        <v>233</v>
      </c>
      <c r="Y118" s="92">
        <f>'US MDM-5000'!D105</f>
        <v>5.9427375462168648</v>
      </c>
      <c r="Z118" s="92">
        <f>'US MDM-5000'!F105</f>
        <v>5.9427375462168888</v>
      </c>
      <c r="AA118" s="92">
        <f>'US MDM-5000'!H105</f>
        <v>5.9427375462168648</v>
      </c>
      <c r="AB118" s="92">
        <f>'US MDM-5000'!J105</f>
        <v>4.3391417004123136</v>
      </c>
      <c r="AC118" s="92">
        <f>'US MDM-5000'!L105</f>
        <v>4.3391417004123323</v>
      </c>
      <c r="AD118" s="92">
        <f>'US MDM-5000'!N105</f>
        <v>4.3391417004123136</v>
      </c>
    </row>
    <row r="119" spans="1:30" x14ac:dyDescent="0.2">
      <c r="A119" s="1"/>
      <c r="B119" s="1"/>
      <c r="C119" s="1"/>
      <c r="D119" s="1"/>
      <c r="E119" s="1"/>
      <c r="F119" s="1"/>
      <c r="G119" s="1"/>
      <c r="H119" s="1"/>
      <c r="I119" s="1"/>
      <c r="J119" s="1"/>
      <c r="K119" s="1"/>
      <c r="L119" s="1"/>
      <c r="M119" s="1"/>
      <c r="N119" s="1"/>
      <c r="O119" s="1"/>
      <c r="P119" s="1"/>
      <c r="Q119" s="571"/>
      <c r="S119" s="89"/>
      <c r="T119" s="90"/>
      <c r="U119" s="90"/>
      <c r="V119" s="90"/>
      <c r="W119" s="90"/>
      <c r="X119" s="89" t="s">
        <v>234</v>
      </c>
      <c r="Y119" s="90">
        <f t="shared" ref="Y119:AD119" si="21">IF(-Y118&gt;-Y117,-Y118,-Y117)</f>
        <v>-5.9427375462168648</v>
      </c>
      <c r="Z119" s="90">
        <f t="shared" si="21"/>
        <v>-5.9427375462168888</v>
      </c>
      <c r="AA119" s="90">
        <f t="shared" si="21"/>
        <v>-5.9427375462168648</v>
      </c>
      <c r="AB119" s="90">
        <f t="shared" si="21"/>
        <v>-4.3391417004123136</v>
      </c>
      <c r="AC119" s="90">
        <f t="shared" si="21"/>
        <v>-4.3391417004123323</v>
      </c>
      <c r="AD119" s="90">
        <f t="shared" si="21"/>
        <v>-4.3391417004123136</v>
      </c>
    </row>
    <row r="120" spans="1:30" ht="17" thickBot="1" x14ac:dyDescent="0.25">
      <c r="A120" s="1"/>
      <c r="B120" s="71" t="str">
        <f>Data!$T$1</f>
        <v>Meyer Sound Laboratories, Inc. Berkeley, California, USA                                 www.meyersound.com</v>
      </c>
      <c r="C120" s="1"/>
      <c r="D120" s="1"/>
      <c r="E120" s="1"/>
      <c r="F120" s="1"/>
      <c r="G120" s="1"/>
      <c r="H120" s="1"/>
      <c r="I120" s="1"/>
      <c r="J120" s="1"/>
      <c r="K120" s="1"/>
      <c r="L120" s="1"/>
      <c r="M120" s="1"/>
      <c r="N120" s="1"/>
      <c r="O120" s="1"/>
      <c r="P120" s="392" t="str">
        <f>Data!$G$1</f>
        <v>© 2021</v>
      </c>
      <c r="Q120" s="571"/>
      <c r="S120" s="89"/>
      <c r="T120" s="90"/>
      <c r="U120" s="90"/>
      <c r="V120" s="90"/>
      <c r="W120" s="90"/>
      <c r="X120" s="89" t="s">
        <v>235</v>
      </c>
      <c r="Y120" s="90" t="e">
        <f t="shared" ref="Y120:AD120" si="22">IF(-Y118&gt;-Y117,NA(),-Y118+Y117)</f>
        <v>#N/A</v>
      </c>
      <c r="Z120" s="90" t="e">
        <f t="shared" si="22"/>
        <v>#N/A</v>
      </c>
      <c r="AA120" s="90" t="e">
        <f t="shared" si="22"/>
        <v>#N/A</v>
      </c>
      <c r="AB120" s="90" t="e">
        <f t="shared" si="22"/>
        <v>#N/A</v>
      </c>
      <c r="AC120" s="90" t="e">
        <f t="shared" si="22"/>
        <v>#N/A</v>
      </c>
      <c r="AD120" s="90" t="e">
        <f t="shared" si="22"/>
        <v>#N/A</v>
      </c>
    </row>
    <row r="121" spans="1:30" x14ac:dyDescent="0.2">
      <c r="A121" s="133"/>
      <c r="B121" s="133"/>
      <c r="C121" s="133"/>
      <c r="D121" s="133"/>
      <c r="E121" s="133"/>
      <c r="F121" s="133"/>
      <c r="G121" s="133"/>
      <c r="H121" s="133"/>
      <c r="I121" s="133"/>
      <c r="J121" s="133"/>
      <c r="K121" s="133"/>
      <c r="L121" s="133"/>
      <c r="M121" s="133"/>
      <c r="N121" s="133"/>
      <c r="O121" s="163" t="str">
        <f>Data!$M$1</f>
        <v>06.257.005.01 C</v>
      </c>
      <c r="P121" s="133"/>
      <c r="W121" t="s">
        <v>272</v>
      </c>
      <c r="Z121" s="90"/>
      <c r="AA121" t="s">
        <v>272</v>
      </c>
    </row>
    <row r="122" spans="1:30" x14ac:dyDescent="0.2">
      <c r="A122" s="1"/>
      <c r="B122" s="10" t="s">
        <v>192</v>
      </c>
      <c r="C122" s="1"/>
      <c r="D122" s="73" t="s">
        <v>279</v>
      </c>
      <c r="E122" s="73" t="s">
        <v>280</v>
      </c>
      <c r="F122" s="73" t="s">
        <v>281</v>
      </c>
      <c r="G122" s="74" t="s">
        <v>282</v>
      </c>
      <c r="H122" s="74" t="s">
        <v>283</v>
      </c>
      <c r="I122" s="74" t="s">
        <v>284</v>
      </c>
      <c r="J122" s="1"/>
      <c r="K122" s="627" t="s">
        <v>160</v>
      </c>
      <c r="L122" s="628"/>
      <c r="M122" s="104" t="s">
        <v>158</v>
      </c>
      <c r="N122" s="70"/>
      <c r="O122" s="72">
        <v>12</v>
      </c>
      <c r="P122" s="1"/>
      <c r="V122" s="623" t="s">
        <v>104</v>
      </c>
      <c r="W122" s="93">
        <f>D123*COS(RADIANS(0))</f>
        <v>120</v>
      </c>
      <c r="X122" s="93">
        <f>E123*COS(RADIANS(-120))</f>
        <v>-59.999999999999972</v>
      </c>
      <c r="Y122" s="93">
        <f>F123*COS(RADIANS(120))</f>
        <v>-59.999999999999972</v>
      </c>
      <c r="Z122" s="95" t="s">
        <v>285</v>
      </c>
      <c r="AA122" s="93">
        <f>G123*COS(RADIANS(0))</f>
        <v>120</v>
      </c>
      <c r="AB122" s="93">
        <f>H123*COS(RADIANS(-120))</f>
        <v>-59.999999999999972</v>
      </c>
      <c r="AC122" s="93">
        <f>I123*COS(RADIANS(120))</f>
        <v>-59.999999999999972</v>
      </c>
    </row>
    <row r="123" spans="1:30" x14ac:dyDescent="0.2">
      <c r="A123" s="1"/>
      <c r="B123" s="69"/>
      <c r="C123" s="1"/>
      <c r="D123" s="139">
        <f>'Master US'!$D$4</f>
        <v>120</v>
      </c>
      <c r="E123" s="139">
        <f>'Master US'!$G$4</f>
        <v>120</v>
      </c>
      <c r="F123" s="139">
        <f>'Master US'!$J$4</f>
        <v>120</v>
      </c>
      <c r="G123" s="139">
        <f>'Master US'!$D$4</f>
        <v>120</v>
      </c>
      <c r="H123" s="139">
        <f>'Master US'!$G$4</f>
        <v>120</v>
      </c>
      <c r="I123" s="139">
        <f>'Master US'!$J$4</f>
        <v>120</v>
      </c>
      <c r="J123" s="97"/>
      <c r="K123" s="103" t="s">
        <v>286</v>
      </c>
      <c r="L123" s="103" t="s">
        <v>287</v>
      </c>
      <c r="M123" s="71"/>
      <c r="N123" s="134"/>
      <c r="O123" s="1"/>
      <c r="P123" s="1"/>
      <c r="V123" s="623"/>
      <c r="W123" s="93">
        <f>D123*SIN(RADIANS(0))</f>
        <v>0</v>
      </c>
      <c r="X123" s="93">
        <f>E123*SIN(RADIANS(-120))</f>
        <v>-103.92304845413264</v>
      </c>
      <c r="Y123" s="93">
        <f>F123*SIN(RADIANS(120))</f>
        <v>103.92304845413264</v>
      </c>
      <c r="Z123" s="95" t="s">
        <v>288</v>
      </c>
      <c r="AA123" s="93">
        <f>G123*SIN(RADIANS(0))</f>
        <v>0</v>
      </c>
      <c r="AB123" s="93">
        <f>H123*SIN(RADIANS(-120))</f>
        <v>-103.92304845413264</v>
      </c>
      <c r="AC123" s="93">
        <f>I123*SIN(RADIANS(120))</f>
        <v>103.92304845413264</v>
      </c>
    </row>
    <row r="124" spans="1:30" ht="5" customHeight="1" x14ac:dyDescent="0.25">
      <c r="A124" s="1"/>
      <c r="B124" s="2"/>
      <c r="C124" s="1"/>
      <c r="D124" s="5"/>
      <c r="E124" s="40"/>
      <c r="F124" s="5">
        <v>100</v>
      </c>
      <c r="G124" s="40"/>
      <c r="H124" s="5"/>
      <c r="I124" s="8"/>
      <c r="J124" s="98"/>
      <c r="K124" s="98"/>
      <c r="L124" s="1"/>
      <c r="M124" s="1"/>
      <c r="N124" s="1"/>
      <c r="O124" s="1"/>
      <c r="P124" s="1"/>
      <c r="V124" s="623"/>
      <c r="W124" s="93"/>
      <c r="X124" s="93"/>
      <c r="Y124" s="93"/>
      <c r="Z124" s="95"/>
      <c r="AA124" s="93"/>
      <c r="AB124" s="93"/>
      <c r="AC124" s="93"/>
    </row>
    <row r="125" spans="1:30" ht="15" customHeight="1" x14ac:dyDescent="0.25">
      <c r="A125" s="1"/>
      <c r="B125" s="23" t="s">
        <v>289</v>
      </c>
      <c r="C125" s="1"/>
      <c r="D125" s="75">
        <f>IMABS(W131)</f>
        <v>23</v>
      </c>
      <c r="E125" s="75">
        <f>IMABS(X131)</f>
        <v>23.000000000000014</v>
      </c>
      <c r="F125" s="75">
        <f>IMABS(Y131)</f>
        <v>23.000000000000014</v>
      </c>
      <c r="G125" s="75">
        <f>IMABS(AA131)</f>
        <v>19.1666666666667</v>
      </c>
      <c r="H125" s="75">
        <f>IMABS(AB131)</f>
        <v>19.166666666666629</v>
      </c>
      <c r="I125" s="75">
        <f>IMABS(AC131)</f>
        <v>19.166666666666629</v>
      </c>
      <c r="J125" s="102" t="s">
        <v>116</v>
      </c>
      <c r="K125" s="98"/>
      <c r="L125" s="1"/>
      <c r="M125" s="629" t="str">
        <f>IF('US MDM-5000'!U134=0,"O K pass UL",IF(AND('US MDM-5000'!S134=0,'US MDM-5000'!T134&gt;0),"OK Not UL",IF(AND('US MDM-5000'!S134&gt;0,'US MDM-5000'!T134&gt;0),"N O !","N O !")))</f>
        <v>O K pass UL</v>
      </c>
      <c r="N125" s="630"/>
      <c r="O125" s="635">
        <v>4</v>
      </c>
      <c r="P125" s="71"/>
      <c r="V125" s="623"/>
      <c r="W125" s="92" t="str">
        <f>COMPLEX(W122,W123)</f>
        <v>120</v>
      </c>
      <c r="X125" s="92" t="str">
        <f>COMPLEX(X122,X123)</f>
        <v>-60-103.923048454133i</v>
      </c>
      <c r="Y125" s="92" t="str">
        <f>COMPLEX(Y122,Y123)</f>
        <v>-60+103.923048454133i</v>
      </c>
      <c r="Z125" s="95" t="s">
        <v>290</v>
      </c>
      <c r="AA125" s="92" t="str">
        <f>COMPLEX(AA122,AA123)</f>
        <v>120</v>
      </c>
      <c r="AB125" s="92" t="str">
        <f>COMPLEX(AB122,AB123)</f>
        <v>-60-103.923048454133i</v>
      </c>
      <c r="AC125" s="92" t="str">
        <f>COMPLEX(AC122,AC123)</f>
        <v>-60+103.923048454133i</v>
      </c>
    </row>
    <row r="126" spans="1:30" ht="15" customHeight="1" x14ac:dyDescent="0.2">
      <c r="A126" s="1"/>
      <c r="B126" s="23" t="s">
        <v>291</v>
      </c>
      <c r="C126" s="1"/>
      <c r="D126" s="146">
        <f>D123*W126</f>
        <v>4231.9999999999918</v>
      </c>
      <c r="E126" s="146">
        <f>E123*X126</f>
        <v>4231.9999999999973</v>
      </c>
      <c r="F126" s="146">
        <f>F123*Y126</f>
        <v>4231.9999999999973</v>
      </c>
      <c r="G126" s="146">
        <f>G123*AA126</f>
        <v>4324.0000000000082</v>
      </c>
      <c r="H126" s="146">
        <f>H123*AB126</f>
        <v>4323.9999999999945</v>
      </c>
      <c r="I126" s="146">
        <f>I123*AC126</f>
        <v>4323.9999999999945</v>
      </c>
      <c r="J126" s="100" t="s">
        <v>265</v>
      </c>
      <c r="K126" s="106">
        <f>(SQRT(POWER(E123,2)+POWER(F123,2)+POWER(D123,2)))*(SQRT(POWER(E125,2)+POWER(F125,2)+POWER(D125,2)))</f>
        <v>8280.0000000000036</v>
      </c>
      <c r="L126" s="107">
        <f>(SQRT(POWER(H123,2)+POWER(I123,2)+POWER(G123,2)))*(SQRT(POWER(H125,2)+POWER(I125,2)+POWER(G125,2)))</f>
        <v>6899.9999999999955</v>
      </c>
      <c r="M126" s="631"/>
      <c r="N126" s="632"/>
      <c r="O126" s="635"/>
      <c r="P126" s="71"/>
      <c r="V126" s="623" t="s">
        <v>292</v>
      </c>
      <c r="W126">
        <f>IMABS(W129)</f>
        <v>35.266666666666602</v>
      </c>
      <c r="X126">
        <f>IMABS(X129)</f>
        <v>35.266666666666644</v>
      </c>
      <c r="Y126">
        <f>IMABS(Y129)</f>
        <v>35.266666666666644</v>
      </c>
      <c r="Z126" s="95" t="s">
        <v>293</v>
      </c>
      <c r="AA126">
        <f>IMABS(AA129)</f>
        <v>36.033333333333402</v>
      </c>
      <c r="AB126">
        <f>IMABS(AB129)</f>
        <v>36.033333333333289</v>
      </c>
      <c r="AC126">
        <f>IMABS(AC129)</f>
        <v>36.033333333333289</v>
      </c>
    </row>
    <row r="127" spans="1:30" ht="15" customHeight="1" x14ac:dyDescent="0.2">
      <c r="A127" s="1"/>
      <c r="B127" s="24" t="s">
        <v>266</v>
      </c>
      <c r="C127" s="1"/>
      <c r="D127" s="146">
        <f>IFERROR(D123*D125*COS(RADIANS(0-W127)),0)</f>
        <v>2760</v>
      </c>
      <c r="E127" s="146">
        <f>IFERROR(E123*E125*COS(RADIANS(-120-X127)),0)</f>
        <v>2760.0000000000018</v>
      </c>
      <c r="F127" s="146">
        <f>IFERROR(F123*F125*COS(RADIANS(120-Y127)),0)</f>
        <v>2760.0000000000018</v>
      </c>
      <c r="G127" s="146">
        <f>IFERROR(G123*G125*COS(RADIANS(0-AA127)),0)</f>
        <v>2300.0000000000041</v>
      </c>
      <c r="H127" s="146">
        <f>IFERROR(H123*H125*COS(RADIANS(-120-AB127)),0)</f>
        <v>2299.9999999999955</v>
      </c>
      <c r="I127" s="146">
        <f>IFERROR(I123*I125*COS(RADIANS(120-AC127)),0)</f>
        <v>2299.9999999999955</v>
      </c>
      <c r="J127" s="101" t="s">
        <v>267</v>
      </c>
      <c r="K127" s="105">
        <f>SUM(D127:F127)</f>
        <v>8280.0000000000036</v>
      </c>
      <c r="L127" s="108">
        <f>SUM(G127:I127)</f>
        <v>6899.9999999999955</v>
      </c>
      <c r="M127" s="633"/>
      <c r="N127" s="634"/>
      <c r="O127" s="635"/>
      <c r="P127" s="71"/>
      <c r="R127" t="s">
        <v>294</v>
      </c>
      <c r="S127" s="88" t="s">
        <v>295</v>
      </c>
      <c r="T127" t="s">
        <v>257</v>
      </c>
      <c r="V127" s="623"/>
      <c r="W127">
        <f>DEGREES(IMARGUMENT(W129))</f>
        <v>0</v>
      </c>
      <c r="X127">
        <f>DEGREES(IMARGUMENT(X129))</f>
        <v>-119.99999999999997</v>
      </c>
      <c r="Y127">
        <f>DEGREES(IMARGUMENT(Y129))</f>
        <v>119.99999999999997</v>
      </c>
      <c r="Z127" s="90" t="s">
        <v>296</v>
      </c>
      <c r="AA127">
        <f>DEGREES(IMARGUMENT(AA129))</f>
        <v>0</v>
      </c>
      <c r="AB127">
        <f>DEGREES(IMARGUMENT(AB129))</f>
        <v>-120.00000000000011</v>
      </c>
      <c r="AC127">
        <f>DEGREES(IMARGUMENT(AC129))</f>
        <v>120.00000000000011</v>
      </c>
    </row>
    <row r="128" spans="1:30" ht="8" customHeight="1" thickBot="1" x14ac:dyDescent="0.25">
      <c r="A128" s="1"/>
      <c r="B128" s="1"/>
      <c r="C128" s="1"/>
      <c r="D128" s="1"/>
      <c r="E128" s="1"/>
      <c r="F128" s="1"/>
      <c r="G128" s="1"/>
      <c r="H128" s="1"/>
      <c r="I128" s="1"/>
      <c r="J128" s="1"/>
      <c r="K128" s="1"/>
      <c r="L128" s="1"/>
      <c r="M128" s="1"/>
      <c r="N128" s="1"/>
      <c r="O128" s="1"/>
      <c r="P128" s="1"/>
      <c r="R128" t="s">
        <v>162</v>
      </c>
      <c r="S128">
        <f>IF(OR('US MDM-5000'!E125&gt;Data!$AF$6,'US MDM-5000'!G125&gt;Data!$AF$6,'US MDM-5000'!I125&gt;Data!$AF$6,'US MDM-5000'!D125&gt;Data!$AF$6,'US MDM-5000'!F125&gt;Data!$AF$6,'US MDM-5000'!H125&gt;Data!$AF$6),1,0)</f>
        <v>0</v>
      </c>
      <c r="T128">
        <f>IF(OR('US MDM-5000'!E125&gt;Data!$AG$6,'US MDM-5000'!G125&gt;Data!$AG$6,'US MDM-5000'!I125&gt;Data!$AG$6,'US MDM-5000'!D125&gt;Data!$AG$6,'US MDM-5000'!F125&gt;Data!$AG$6,'US MDM-5000'!H125&gt;Data!$AG$6),1,0)</f>
        <v>0</v>
      </c>
      <c r="V128" s="623"/>
      <c r="Z128" s="94"/>
    </row>
    <row r="129" spans="1:30" x14ac:dyDescent="0.2">
      <c r="A129" s="1"/>
      <c r="B129" s="10" t="s">
        <v>203</v>
      </c>
      <c r="C129" s="1"/>
      <c r="D129" s="560" t="s">
        <v>297</v>
      </c>
      <c r="E129" s="561"/>
      <c r="F129" s="553" t="s">
        <v>298</v>
      </c>
      <c r="G129" s="561"/>
      <c r="H129" s="553" t="s">
        <v>299</v>
      </c>
      <c r="I129" s="561"/>
      <c r="J129" s="553" t="s">
        <v>300</v>
      </c>
      <c r="K129" s="561"/>
      <c r="L129" s="553" t="s">
        <v>301</v>
      </c>
      <c r="M129" s="561"/>
      <c r="N129" s="553" t="s">
        <v>302</v>
      </c>
      <c r="O129" s="554"/>
      <c r="P129" s="1"/>
      <c r="R129" t="s">
        <v>201</v>
      </c>
      <c r="S129">
        <f>IF(OR('US MDM-5000'!D137&gt;Data!$AF$7,'US MDM-5000'!F137&gt;Data!$AF$7,'US MDM-5000'!H137&gt;Data!$AF$7,'US MDM-5000'!J137&gt;Data!$AF$7,'US MDM-5000'!L137&gt;Data!$AF$7,'US MDM-5000'!N137&gt;Data!$AF$7),1,0)</f>
        <v>0</v>
      </c>
      <c r="T129">
        <f>IF(OR('US MDM-5000'!D137&gt;Data!$AG$7,'US MDM-5000'!F137&gt;Data!$AG$7,'US MDM-5000'!H137&gt;Data!$AG$7,'US MDM-5000'!J137&gt;Data!$AG$7,'US MDM-5000'!L137&gt;Data!$AG$7,'US MDM-5000'!N137&gt;Data!$AG$7),1,0)</f>
        <v>0</v>
      </c>
      <c r="V129" s="623"/>
      <c r="W129" t="str">
        <f>IMSUM(Y133,W132)</f>
        <v>35.2666666666666</v>
      </c>
      <c r="X129" t="str">
        <f>IMSUM(X132,W133)</f>
        <v>-17.6333333333333-30.5418292401312i</v>
      </c>
      <c r="Y129" t="str">
        <f>IMSUM(X133,Y132)</f>
        <v>-17.6333333333333+30.5418292401312i</v>
      </c>
      <c r="Z129" s="94"/>
      <c r="AA129" t="str">
        <f>IMSUM(AA132,AC133)</f>
        <v>36.0333333333334</v>
      </c>
      <c r="AB129" t="str">
        <f>IMSUM(AB132,AA133)</f>
        <v>-18.0166666666667-31.2057820496992i</v>
      </c>
      <c r="AC129" t="str">
        <f>IMSUM(AC132,AB133)</f>
        <v>-18.0166666666667+31.2057820496992i</v>
      </c>
    </row>
    <row r="130" spans="1:30" x14ac:dyDescent="0.2">
      <c r="A130" s="1"/>
      <c r="B130" s="99" t="s">
        <v>303</v>
      </c>
      <c r="C130" s="1"/>
      <c r="D130" s="626" t="s">
        <v>304</v>
      </c>
      <c r="E130" s="624"/>
      <c r="F130" s="624" t="s">
        <v>304</v>
      </c>
      <c r="G130" s="624"/>
      <c r="H130" s="624" t="s">
        <v>304</v>
      </c>
      <c r="I130" s="624"/>
      <c r="J130" s="624" t="s">
        <v>304</v>
      </c>
      <c r="K130" s="624"/>
      <c r="L130" s="624" t="s">
        <v>304</v>
      </c>
      <c r="M130" s="624"/>
      <c r="N130" s="624" t="s">
        <v>304</v>
      </c>
      <c r="O130" s="624"/>
      <c r="P130" s="1"/>
      <c r="V130" s="94"/>
      <c r="Z130" s="90"/>
    </row>
    <row r="131" spans="1:30" x14ac:dyDescent="0.2">
      <c r="A131" s="1"/>
      <c r="B131" s="23" t="s">
        <v>205</v>
      </c>
      <c r="C131" s="1"/>
      <c r="D131" s="32" t="s">
        <v>236</v>
      </c>
      <c r="E131" s="33">
        <v>8</v>
      </c>
      <c r="F131" s="34" t="s">
        <v>236</v>
      </c>
      <c r="G131" s="33">
        <v>8</v>
      </c>
      <c r="H131" s="34" t="s">
        <v>236</v>
      </c>
      <c r="I131" s="33">
        <v>8</v>
      </c>
      <c r="J131" s="34" t="s">
        <v>237</v>
      </c>
      <c r="K131" s="33">
        <v>4</v>
      </c>
      <c r="L131" s="34" t="s">
        <v>237</v>
      </c>
      <c r="M131" s="33">
        <v>4</v>
      </c>
      <c r="N131" s="34" t="s">
        <v>237</v>
      </c>
      <c r="O131" s="35">
        <v>4</v>
      </c>
      <c r="P131" s="1"/>
      <c r="R131" t="s">
        <v>202</v>
      </c>
      <c r="S131">
        <f>IF(OR('US MDM-5000'!D139&gt;Data!$AF$8,'US MDM-5000'!F139&gt;Data!$AF$8,'US MDM-5000'!H139&gt;Data!$AF$8,'US MDM-5000'!J139&gt;Data!$AF$8,'US MDM-5000'!L139&gt;Data!$AF$8,'US MDM-5000'!N139&gt;Data!$AF$8),1,0)</f>
        <v>0</v>
      </c>
      <c r="V131" s="625" t="s">
        <v>305</v>
      </c>
      <c r="W131" t="str">
        <f>IMSUM(Y142,W141)</f>
        <v>23</v>
      </c>
      <c r="X131" t="str">
        <f>IMSUM(X141,W142)</f>
        <v>-11.5-19.9185842870421i</v>
      </c>
      <c r="Y131" t="str">
        <f>IMSUM(X142,Y141)</f>
        <v>-11.5+19.9185842870421i</v>
      </c>
      <c r="Z131" s="94"/>
      <c r="AA131" t="str">
        <f>IMSUM(AA141,AC142)</f>
        <v>19.1666666666667</v>
      </c>
      <c r="AB131" t="str">
        <f>IMSUM(AB141,AA142)</f>
        <v>-9.58333333333333-16.5988202392017i</v>
      </c>
      <c r="AC131" t="str">
        <f>IMSUM(AC141,AB142)</f>
        <v>-9.58333333333333+16.5988202392017i</v>
      </c>
    </row>
    <row r="132" spans="1:30" x14ac:dyDescent="0.2">
      <c r="A132" s="1"/>
      <c r="B132" s="23" t="s">
        <v>205</v>
      </c>
      <c r="C132" s="1"/>
      <c r="D132" s="36" t="s">
        <v>127</v>
      </c>
      <c r="E132" s="33">
        <v>0</v>
      </c>
      <c r="F132" s="37" t="s">
        <v>127</v>
      </c>
      <c r="G132" s="33">
        <v>0</v>
      </c>
      <c r="H132" s="37" t="s">
        <v>127</v>
      </c>
      <c r="I132" s="33">
        <v>0</v>
      </c>
      <c r="J132" s="37" t="s">
        <v>127</v>
      </c>
      <c r="K132" s="33">
        <v>0</v>
      </c>
      <c r="L132" s="37" t="s">
        <v>127</v>
      </c>
      <c r="M132" s="33">
        <v>0</v>
      </c>
      <c r="N132" s="37" t="s">
        <v>127</v>
      </c>
      <c r="O132" s="35">
        <v>0</v>
      </c>
      <c r="P132" s="1"/>
      <c r="R132" t="s">
        <v>204</v>
      </c>
      <c r="S132">
        <f>IF(OR('US MDM-5000'!D145&gt;Data!$AF$13,'US MDM-5000'!F145&gt;Data!$AF$13,'US MDM-5000'!H145&gt;Data!$AF$13,'US MDM-5000'!J145&gt;Data!$AF$13,'US MDM-5000'!L145&gt;Data!$AF$13,'US MDM-5000'!N145&gt;Data!$AF$13),1,0)</f>
        <v>0</v>
      </c>
      <c r="V132" s="625"/>
      <c r="W132" t="str">
        <f>IF(D130="On",COMPLEX((D138*COS(RADIANS(30))),(D138*SIN(RADIANS(30)))),COMPLEX((0*COS(RADIANS(30))),(0*SIN(RADIANS(30)))))</f>
        <v>17.6333333333333+10.1806097467104i</v>
      </c>
      <c r="X132" t="str">
        <f>IF(F130="On",COMPLEX((F138*COS(RADIANS(-90))),(F138*SIN(RADIANS(-90)))),COMPLEX((0*COS(RADIANS(-90))),(0*SIN(RADIANS(-90)))))</f>
        <v>1.24727583012099E-15-20.3612194934208i</v>
      </c>
      <c r="Y132" t="str">
        <f>IF(H130="On",COMPLEX((H138*COS(RADIANS(150))),(H138*SIN(RADIANS(150)))),COMPLEX((0*COS(RADIANS(150))),(0*SIN(RADIANS(150)))))</f>
        <v>-17.6333333333333+10.1806097467104i</v>
      </c>
      <c r="Z132" s="94" t="s">
        <v>306</v>
      </c>
      <c r="AA132" t="str">
        <f>IF(J130="On",COMPLEX(J138*COS(RADIANS(30)),J138*SIN(RADIANS(30))),COMPLEX(0*COS(RADIANS(30)),0*SIN(RADIANS(30))))</f>
        <v>18.0166666666667+10.4019273498997i</v>
      </c>
      <c r="AB132" t="str">
        <f>IF(L130="On",COMPLEX(L138*COS(RADIANS(-90)),L138*SIN(RADIANS(-90))),COMPLEX(0*COS(RADIANS(-90)),0*SIN(RADIANS(-90))))</f>
        <v>1.27439052208014E-15-20.8038546997995i</v>
      </c>
      <c r="AC132" t="str">
        <f>IF(N130="On",COMPLEX(N138*COS(RADIANS(150)),N138*SIN(RADIANS(150))),COMPLEX(0*COS(RADIANS(150)),0*SIN(RADIANS(150))))</f>
        <v>-18.0166666666667+10.4019273498997i</v>
      </c>
    </row>
    <row r="133" spans="1:30" x14ac:dyDescent="0.2">
      <c r="A133" s="1"/>
      <c r="B133" s="23" t="s">
        <v>121</v>
      </c>
      <c r="C133" s="1"/>
      <c r="D133" s="38">
        <v>100</v>
      </c>
      <c r="E133" s="29" t="s">
        <v>307</v>
      </c>
      <c r="F133" s="39">
        <v>100</v>
      </c>
      <c r="G133" s="29" t="s">
        <v>307</v>
      </c>
      <c r="H133" s="39">
        <v>100</v>
      </c>
      <c r="I133" s="29" t="s">
        <v>307</v>
      </c>
      <c r="J133" s="39">
        <v>100</v>
      </c>
      <c r="K133" s="29" t="s">
        <v>307</v>
      </c>
      <c r="L133" s="39">
        <v>100</v>
      </c>
      <c r="M133" s="29" t="s">
        <v>307</v>
      </c>
      <c r="N133" s="39">
        <v>100</v>
      </c>
      <c r="O133" s="28" t="s">
        <v>307</v>
      </c>
      <c r="P133" s="1"/>
      <c r="W133" t="str">
        <f>IF(D130="On",COMPLEX(-(D138*COS(RADIANS(30))),-(D138*SIN(RADIANS(30)))),COMPLEX(-(0*COS(RADIANS(30))),-(0*SIN(RADIANS(30)))))</f>
        <v>-17.6333333333333-10.1806097467104i</v>
      </c>
      <c r="X133" t="str">
        <f>IF(F130="On",COMPLEX(-(F138*COS(RADIANS(-90))),-(F138*SIN(RADIANS(-90)))),COMPLEX(-(0*COS(RADIANS(-90))),-(0*SIN(RADIANS(-90)))))</f>
        <v>-1.24727583012099E-15+20.3612194934208i</v>
      </c>
      <c r="Y133" t="str">
        <f>IF(H130="On",COMPLEX(-(H138*COS(RADIANS(150))),-(H138*SIN(RADIANS(150)))),COMPLEX(-(0*COS(RADIANS(150))),-(0*SIN(RADIANS(150)))))</f>
        <v>17.6333333333333-10.1806097467104i</v>
      </c>
      <c r="Z133" s="96" t="s">
        <v>308</v>
      </c>
      <c r="AA133" t="str">
        <f>IF(J130="On",COMPLEX(-(J138*COS(RADIANS(30))),-(J138*SIN(RADIANS(30)))),COMPLEX(-(0*COS(RADIANS(30))),-(0*SIN(RADIANS(30)))))</f>
        <v>-18.0166666666667-10.4019273498997i</v>
      </c>
      <c r="AB133" t="str">
        <f>IF(L130="On",COMPLEX(-(L138*COS(RADIANS(-90))),-(L138*SIN(RADIANS(-90)))),COMPLEX(-(0*COS(RADIANS(-90))),-(0*SIN(RADIANS(-90)))))</f>
        <v>-1.27439052208014E-15+20.8038546997995i</v>
      </c>
      <c r="AC133" t="str">
        <f>IF(N130="On",COMPLEX(-(N138*COS(RADIANS(150))),-(N138*SIN(RADIANS(150)))),COMPLEX(-(0*COS(RADIANS(150))),-(0*SIN(RADIANS(150)))))</f>
        <v>18.0166666666667-10.4019273498997i</v>
      </c>
    </row>
    <row r="134" spans="1:30" ht="11" customHeight="1" x14ac:dyDescent="0.2">
      <c r="A134" s="1"/>
      <c r="B134" s="2"/>
      <c r="C134" s="1"/>
      <c r="D134" s="555" t="s">
        <v>210</v>
      </c>
      <c r="E134" s="556"/>
      <c r="F134" s="556"/>
      <c r="G134" s="556"/>
      <c r="H134" s="556"/>
      <c r="I134" s="556"/>
      <c r="J134" s="557" t="s">
        <v>210</v>
      </c>
      <c r="K134" s="556"/>
      <c r="L134" s="556"/>
      <c r="M134" s="556"/>
      <c r="N134" s="556"/>
      <c r="O134" s="558"/>
      <c r="P134" s="1"/>
      <c r="R134" t="s">
        <v>208</v>
      </c>
      <c r="S134">
        <f>SUM(S128:S132)</f>
        <v>0</v>
      </c>
      <c r="T134">
        <f>SUM(T128:T129)</f>
        <v>0</v>
      </c>
      <c r="U134">
        <f>SUM(S134:T134)</f>
        <v>0</v>
      </c>
      <c r="Z134" s="94"/>
    </row>
    <row r="135" spans="1:30" ht="6" customHeight="1" x14ac:dyDescent="0.2">
      <c r="A135" s="1"/>
      <c r="B135" s="2"/>
      <c r="C135" s="1"/>
      <c r="D135" s="3"/>
      <c r="E135" s="4"/>
      <c r="F135" s="5"/>
      <c r="G135" s="4"/>
      <c r="H135" s="5"/>
      <c r="I135" s="4"/>
      <c r="J135" s="5"/>
      <c r="K135" s="4"/>
      <c r="L135" s="5"/>
      <c r="M135" s="4"/>
      <c r="N135" s="5"/>
      <c r="O135" s="6"/>
      <c r="P135" s="1"/>
      <c r="Z135" s="94"/>
    </row>
    <row r="136" spans="1:30" ht="20" customHeight="1" x14ac:dyDescent="0.2">
      <c r="A136" s="1"/>
      <c r="B136" s="23" t="s">
        <v>271</v>
      </c>
      <c r="C136" s="1"/>
      <c r="D136" s="19">
        <f>W136</f>
        <v>207.84609690826545</v>
      </c>
      <c r="E136" s="29" t="s">
        <v>309</v>
      </c>
      <c r="F136" s="20">
        <f>X136</f>
        <v>207.846096908265</v>
      </c>
      <c r="G136" s="29" t="s">
        <v>309</v>
      </c>
      <c r="H136" s="20">
        <f>Y136</f>
        <v>207.84609690826545</v>
      </c>
      <c r="I136" s="29" t="s">
        <v>309</v>
      </c>
      <c r="J136" s="20">
        <f>AA136</f>
        <v>207.84609690826545</v>
      </c>
      <c r="K136" s="29" t="s">
        <v>309</v>
      </c>
      <c r="L136" s="20">
        <f>AB136</f>
        <v>207.846096908265</v>
      </c>
      <c r="M136" s="29" t="s">
        <v>309</v>
      </c>
      <c r="N136" s="20">
        <f>AC136</f>
        <v>207.84609690826545</v>
      </c>
      <c r="O136" s="28" t="s">
        <v>309</v>
      </c>
      <c r="P136" s="1"/>
      <c r="V136" s="623" t="s">
        <v>104</v>
      </c>
      <c r="W136">
        <f>IMABS(W138)</f>
        <v>207.84609690826545</v>
      </c>
      <c r="X136">
        <f>IMABS(X138)</f>
        <v>207.846096908265</v>
      </c>
      <c r="Y136">
        <f>IMABS(Y138)</f>
        <v>207.84609690826545</v>
      </c>
      <c r="Z136" s="90" t="s">
        <v>293</v>
      </c>
      <c r="AA136">
        <f>IMABS(AA138)</f>
        <v>207.84609690826545</v>
      </c>
      <c r="AB136">
        <f>IMABS(AB138)</f>
        <v>207.846096908265</v>
      </c>
      <c r="AC136">
        <f>IMABS(AC138)</f>
        <v>207.84609690826545</v>
      </c>
    </row>
    <row r="137" spans="1:30" x14ac:dyDescent="0.2">
      <c r="A137" s="1"/>
      <c r="B137" s="23" t="s">
        <v>211</v>
      </c>
      <c r="C137" s="1"/>
      <c r="D137" s="12">
        <f>IF(D130="On",(((VLOOKUP($D131,Data!$R$4:$U$62,2,FALSE)*$E131)+(VLOOKUP($D132,Data!$R$4:$U$62,2,FALSE)*$E132))/$D136)*Data!$R$3,0)</f>
        <v>13.279056191361381</v>
      </c>
      <c r="E137" s="13" t="str">
        <f>IF(D137&gt;Data!$AF$7,"&lt;OVER",IF(D137&gt;Data!$AG$7,"&lt;Not UL","A RMS"))</f>
        <v>A RMS</v>
      </c>
      <c r="F137" s="14">
        <f>IF(F130="On",(((VLOOKUP($F131,Data!$R$4:$U$62,2,FALSE)*$G131)+(VLOOKUP($F132,Data!$R$4:$U$62,2,FALSE)*$G132))/$F136)*Data!$R$3,0)</f>
        <v>13.279056191361409</v>
      </c>
      <c r="G137" s="13" t="str">
        <f>IF(F137&gt;Data!$AF$7,"&lt;OVER",IF(F137&gt;Data!$AG$7,"&lt;Not UL","A RMS"))</f>
        <v>A RMS</v>
      </c>
      <c r="H137" s="14">
        <f>IF(H130="On",(((VLOOKUP($H131,Data!$R$4:$U$62,2,FALSE)*$I131)+(VLOOKUP($H132,Data!$R$4:$U$62,2,FALSE)*$I132))/H136)*Data!$R$3,0)</f>
        <v>13.279056191361381</v>
      </c>
      <c r="I137" s="13" t="str">
        <f>IF(H137&gt;Data!$AF$7,"&lt;OVER",IF(H137&gt;Data!$AG$7,"&lt;Not UL","A RMS"))</f>
        <v>A RMS</v>
      </c>
      <c r="J137" s="14">
        <f>IF(J130="On",(((VLOOKUP($J131,Data!$R$4:$U$62,2,FALSE)*$K131)+(VLOOKUP($J132,Data!$R$4:$U$62,2,FALSE)*$K132))/$J136)*Data!$R$3,0)</f>
        <v>11.065880159467818</v>
      </c>
      <c r="K137" s="13" t="str">
        <f>IF(J137&gt;Data!$AF$7,"&lt;OVER",IF(J137&gt;Data!$AG$7,"&lt;Not UL","A RMS"))</f>
        <v>A RMS</v>
      </c>
      <c r="L137" s="14">
        <f>IF(L130="On",(((VLOOKUP($L131,Data!$R$4:$U$62,2,FALSE)*$M131)+(VLOOKUP($L132,Data!$R$4:$U$62,2,FALSE)*$M132))/$L136)*Data!$R$3,0)</f>
        <v>11.065880159467842</v>
      </c>
      <c r="M137" s="13" t="str">
        <f>IF(L137&gt;Data!$AF$7,"&lt;OVER",IF(L137&gt;Data!$AG$7,"&lt;Not UL","A RMS"))</f>
        <v>A RMS</v>
      </c>
      <c r="N137" s="14">
        <f>IF(N130="On",(((VLOOKUP($N131,Data!$R$4:$U$62,2,FALSE)*$O131)+(VLOOKUP($N132,Data!$R$4:$U$62,2,FALSE)*$O132))/$N136)*Data!$R$3,0)</f>
        <v>11.065880159467818</v>
      </c>
      <c r="O137" s="15" t="str">
        <f>IF(N137&gt;Data!$AF$7,"&lt;OVER",IF(N137&gt;Data!$AG$7,"&lt;Not UL","A RMS"))</f>
        <v>A RMS</v>
      </c>
      <c r="P137" s="1"/>
      <c r="V137" s="623"/>
      <c r="W137">
        <f>DEGREES(IMARGUMENT(W138))</f>
        <v>30.000000000000085</v>
      </c>
      <c r="X137">
        <f>DEGREES(IMARGUMENT(X138))</f>
        <v>-90</v>
      </c>
      <c r="Y137">
        <f>DEGREES(IMARGUMENT(Y138))</f>
        <v>149.99999999999991</v>
      </c>
      <c r="Z137" s="90" t="s">
        <v>296</v>
      </c>
      <c r="AA137">
        <f>DEGREES(IMARGUMENT(AA138))</f>
        <v>30.000000000000085</v>
      </c>
      <c r="AB137">
        <f>DEGREES(IMARGUMENT(AB138))</f>
        <v>-90</v>
      </c>
      <c r="AC137">
        <f>DEGREES(IMARGUMENT(AC138))</f>
        <v>149.99999999999991</v>
      </c>
    </row>
    <row r="138" spans="1:30" x14ac:dyDescent="0.2">
      <c r="A138" s="1"/>
      <c r="B138" s="23" t="s">
        <v>199</v>
      </c>
      <c r="C138" s="1"/>
      <c r="D138" s="12">
        <f>IF(D130="On",(((VLOOKUP($D131,Data!$R$4:$U$62,3,FALSE)*$E131)+(VLOOKUP($D132,Data!$R$4:$U$62,3,FALSE)*$E132))/$D136)*Data!$R$3,0)</f>
        <v>20.361219493420784</v>
      </c>
      <c r="E138" s="13" t="s">
        <v>116</v>
      </c>
      <c r="F138" s="14">
        <f>IF(F130="On",(((VLOOKUP($F131,Data!$R$4:$U$62,3,FALSE)*$G131)+(VLOOKUP($F132,Data!$R$4:$U$62,3,FALSE)*$G132))/$F136)*Data!$R$3,0)</f>
        <v>20.36121949342083</v>
      </c>
      <c r="G138" s="13" t="s">
        <v>116</v>
      </c>
      <c r="H138" s="14">
        <f>IF(H130="On",(((VLOOKUP($H131,Data!$R$4:$U$62,3,FALSE)*$I131)+(VLOOKUP($H132,Data!$R$4:$U$62,3,FALSE)*$I132))/$H136)*Data!$R$3,0)</f>
        <v>20.361219493420784</v>
      </c>
      <c r="I138" s="13" t="s">
        <v>116</v>
      </c>
      <c r="J138" s="14">
        <f>IF(J130="On",(((VLOOKUP($J131,Data!$R$4:$U$62,3,FALSE)*$K131)+(VLOOKUP($J132,Data!$R$4:$U$62,3,FALSE)*$K132))/$J136)*Data!$R$3,0)</f>
        <v>20.803854699799498</v>
      </c>
      <c r="K138" s="13" t="s">
        <v>116</v>
      </c>
      <c r="L138" s="14">
        <f>IF(L130="On",(((VLOOKUP($L131,Data!$R$4:$U$62,3,FALSE)*$M131)+(VLOOKUP($L132,Data!$R$4:$U$62,3,FALSE)*$M132))/$L136)*Data!$R$3,0)</f>
        <v>20.803854699799544</v>
      </c>
      <c r="M138" s="13" t="s">
        <v>116</v>
      </c>
      <c r="N138" s="14">
        <f>IF(N130="On",(((VLOOKUP($N131,Data!$R$4:$U$62,3,FALSE)*$O131)+(VLOOKUP($N132,Data!$R$4:$U$62,3,FALSE)*$O132))/$N136)*Data!$R$3,0)</f>
        <v>20.803854699799498</v>
      </c>
      <c r="O138" s="15" t="s">
        <v>116</v>
      </c>
      <c r="P138" s="1"/>
      <c r="V138" s="623"/>
      <c r="W138" t="str">
        <f>COMPLEX((W122-X122),(W123-X123))</f>
        <v>180+103.923048454133i</v>
      </c>
      <c r="X138" t="str">
        <f>COMPLEX(X122-Y122,X123-Y123)</f>
        <v>-207.846096908265i</v>
      </c>
      <c r="Y138" t="str">
        <f>COMPLEX(Y122-W122,Y123-W123)</f>
        <v>-180+103.923048454133i</v>
      </c>
      <c r="Z138" s="94" t="s">
        <v>306</v>
      </c>
      <c r="AA138" t="str">
        <f>COMPLEX(AA122-AB122,AA123-AB123)</f>
        <v>180+103.923048454133i</v>
      </c>
      <c r="AB138" t="str">
        <f>COMPLEX(AB122-AC122,AB123-AC123)</f>
        <v>-207.846096908265i</v>
      </c>
      <c r="AC138" t="str">
        <f>COMPLEX(AC122-AA122,AC123-AA123)</f>
        <v>-180+103.923048454133i</v>
      </c>
    </row>
    <row r="139" spans="1:30" x14ac:dyDescent="0.2">
      <c r="A139" s="1"/>
      <c r="B139" s="23" t="s">
        <v>200</v>
      </c>
      <c r="C139" s="1"/>
      <c r="D139" s="12">
        <f>IF(D130="On",(((VLOOKUP($D131,Data!$R$4:$U$62,4,FALSE)*$E131)+(VLOOKUP($D132,Data!$R$4:$U$62,4,FALSE)*$E132))/$D136)*Data!$R$3,0)</f>
        <v>55.772036003717801</v>
      </c>
      <c r="E139" s="13" t="str">
        <f>IF(D139&gt;Data!$AF$8,"&lt;OVER!","A Pk")</f>
        <v>A Pk</v>
      </c>
      <c r="F139" s="14">
        <f>IF(F130="On",(((VLOOKUP($F131,Data!$R$4:$U$62,4,FALSE)*$G131)+(VLOOKUP($F132,Data!$R$4:$U$62,4,FALSE)*$G132))/$F136)*Data!$R$3,0)</f>
        <v>55.772036003717922</v>
      </c>
      <c r="G139" s="13" t="str">
        <f>IF(F139&gt;Data!$AF$8,"&lt;OVER!","A Pk")</f>
        <v>A Pk</v>
      </c>
      <c r="H139" s="14">
        <f>IF(H130="On",(((VLOOKUP($H131,Data!$R$4:$U$62,4,FALSE)*$I131)+(VLOOKUP($H132,Data!$R$4:$U$62,4,FALSE)*$I132))/$H136)*Data!$R$3,0)</f>
        <v>55.772036003717801</v>
      </c>
      <c r="I139" s="13" t="str">
        <f>IF(H139&gt;Data!$AF$8,"&lt;OVER!","A Pk")</f>
        <v>A Pk</v>
      </c>
      <c r="J139" s="14">
        <f>IF(J130="On",(((VLOOKUP($J131,Data!$R$4:$U$62,4,FALSE)*$K131)+(VLOOKUP($J132,Data!$R$4:$U$62,4,FALSE)*$K132))/$J136)*Data!$R$3,0)</f>
        <v>40.722438986841567</v>
      </c>
      <c r="K139" s="13" t="str">
        <f>IF(J139&gt;Data!$AF$8,"&lt;OVER!","A Pk")</f>
        <v>A Pk</v>
      </c>
      <c r="L139" s="14">
        <f>IF(L130="On",(((VLOOKUP($L131,Data!$R$4:$U$62,4,FALSE)*$M131)+(VLOOKUP($L132,Data!$R$4:$U$62,4,FALSE)*$M132))/$L136)*Data!$R$3,0)</f>
        <v>40.722438986841659</v>
      </c>
      <c r="M139" s="13" t="str">
        <f>IF(L139&gt;Data!$AF$8,"&lt;OVER!","A Pk")</f>
        <v>A Pk</v>
      </c>
      <c r="N139" s="14">
        <f>IF(N130="On",(((VLOOKUP($N131,Data!$R$4:$U$62,4,FALSE)*$O131)+(VLOOKUP($N132,Data!$R$4:$U$62,4,FALSE)*$O132))/$N136)*Data!$R$3,0)</f>
        <v>40.722438986841567</v>
      </c>
      <c r="O139" s="15" t="str">
        <f>IF(N139&gt;Data!$AF$8,"&lt;OVER!","A Pk")</f>
        <v>A Pk</v>
      </c>
      <c r="P139" s="1"/>
      <c r="V139" s="623" t="s">
        <v>310</v>
      </c>
      <c r="W139" s="93"/>
      <c r="X139" s="93"/>
      <c r="Y139" s="93"/>
      <c r="Z139" s="94"/>
      <c r="AA139" s="93"/>
      <c r="AB139" s="93"/>
      <c r="AC139" s="93"/>
    </row>
    <row r="140" spans="1:30" ht="6" customHeight="1" x14ac:dyDescent="0.2">
      <c r="A140" s="1"/>
      <c r="B140" s="23"/>
      <c r="C140" s="1"/>
      <c r="D140" s="12"/>
      <c r="E140" s="16"/>
      <c r="F140" s="14"/>
      <c r="G140" s="16"/>
      <c r="H140" s="14"/>
      <c r="I140" s="16"/>
      <c r="J140" s="14"/>
      <c r="K140" s="16"/>
      <c r="L140" s="14"/>
      <c r="M140" s="16"/>
      <c r="N140" s="14"/>
      <c r="O140" s="15"/>
      <c r="P140" s="1"/>
      <c r="V140" s="623"/>
      <c r="Z140" s="94"/>
    </row>
    <row r="141" spans="1:30" x14ac:dyDescent="0.2">
      <c r="A141" s="1"/>
      <c r="B141" s="23" t="s">
        <v>212</v>
      </c>
      <c r="C141" s="1"/>
      <c r="D141" s="17">
        <f>(17*(10^-8))*(((2*D133)/3.280839895)/(((PI()/4)*((0.127*(92^((36-O122)/39)))^2))*(10^-5)))</f>
        <v>0.31320372803044888</v>
      </c>
      <c r="E141" s="16" t="s">
        <v>213</v>
      </c>
      <c r="F141" s="18">
        <f>(17*(10^-8))*(((2*F133)/3.280839895)/(((PI()/4)*((0.127*(92^((36-O122)/39)))^2))*(10^-5)))</f>
        <v>0.31320372803044888</v>
      </c>
      <c r="G141" s="16" t="s">
        <v>213</v>
      </c>
      <c r="H141" s="18">
        <f>(17*(10^-8))*(((2*H133)/3.280839895)/(((PI()/4)*((0.127*(92^((36-O122)/39)))^2))*(10^-5)))</f>
        <v>0.31320372803044888</v>
      </c>
      <c r="I141" s="16" t="s">
        <v>213</v>
      </c>
      <c r="J141" s="18">
        <f>(17*(10^-8))*(((2*J133)/3.280839895)/(((PI()/4)*((0.127*(92^((36-O122)/39)))^2))*(10^-5)))</f>
        <v>0.31320372803044888</v>
      </c>
      <c r="K141" s="16" t="s">
        <v>213</v>
      </c>
      <c r="L141" s="18">
        <f>(17*(10^-8))*(((2*L133)/3.280839895)/(((PI()/4)*((0.127*(92^((36-O122)/39)))^2))*(10^-5)))</f>
        <v>0.31320372803044888</v>
      </c>
      <c r="M141" s="16" t="s">
        <v>213</v>
      </c>
      <c r="N141" s="18">
        <f>(17*(10^-8))*(((2*N133)/3.280839895)/(((PI()/4)*((0.127*(92^((36-O122)/39)))^2))*(10^-5)))</f>
        <v>0.31320372803044888</v>
      </c>
      <c r="O141" s="15" t="s">
        <v>213</v>
      </c>
      <c r="P141" s="1"/>
      <c r="V141" s="623"/>
      <c r="W141" t="str">
        <f>IF(D130="On",COMPLEX((D137*COS(RADIANS(30))),(D137*SIN(RADIANS(30)))),COMPLEX((0*COS(RADIANS(30))),(0*SIN(RADIANS(30)))))</f>
        <v>11.5+6.63952809568069i</v>
      </c>
      <c r="X141" t="str">
        <f>IF(F130="On",COMPLEX((F137*COS(RADIANS(-90))),(F137*SIN(RADIANS(-90)))),COMPLEX((0*COS(RADIANS(-90))),(0*SIN(RADIANS(-90)))))</f>
        <v>8.13440758774559E-16-13.2790561913614i</v>
      </c>
      <c r="Y141" t="str">
        <f>IF(H130="On",COMPLEX((H137*COS(RADIANS(150))),(H137*SIN(RADIANS(150)))),COMPLEX((0*COS(RADIANS(150))),(0*SIN(RADIANS(150)))))</f>
        <v>-11.5+6.63952809568069i</v>
      </c>
      <c r="Z141" s="94" t="s">
        <v>306</v>
      </c>
      <c r="AA141" t="str">
        <f>IF(J130="On",COMPLEX(J137*COS(RADIANS(30)),J137*SIN(RADIANS(30))),COMPLEX(0*COS(RADIANS(30)),0*SIN(RADIANS(30))))</f>
        <v>9.58333333333333+5.53294007973391i</v>
      </c>
      <c r="AB141" t="str">
        <f>IF(L130="On",COMPLEX(L137*COS(RADIANS(-90)),L137*SIN(RADIANS(-90))),COMPLEX(0*COS(RADIANS(-90)),0*SIN(RADIANS(-90))))</f>
        <v>6.77867298978799E-16-11.0658801594678i</v>
      </c>
      <c r="AC141" t="str">
        <f>IF(N130="On",COMPLEX(N137*COS(RADIANS(150)),N137*SIN(RADIANS(150))),COMPLEX(0*COS(RADIANS(150)),0*SIN(RADIANS(150))))</f>
        <v>-9.58333333333333+5.53294007973391i</v>
      </c>
    </row>
    <row r="142" spans="1:30" x14ac:dyDescent="0.2">
      <c r="A142" s="1"/>
      <c r="B142" s="23" t="s">
        <v>214</v>
      </c>
      <c r="C142" s="1"/>
      <c r="D142" s="19">
        <f>D136*SQRT(2)</f>
        <v>293.93876913398162</v>
      </c>
      <c r="E142" s="16" t="s">
        <v>215</v>
      </c>
      <c r="F142" s="20">
        <f>F136*SQRT(2)</f>
        <v>293.938769133981</v>
      </c>
      <c r="G142" s="16" t="s">
        <v>215</v>
      </c>
      <c r="H142" s="20">
        <f>H136*SQRT(2)</f>
        <v>293.93876913398162</v>
      </c>
      <c r="I142" s="16" t="s">
        <v>215</v>
      </c>
      <c r="J142" s="20">
        <f>J136*SQRT(2)</f>
        <v>293.93876913398162</v>
      </c>
      <c r="K142" s="16" t="s">
        <v>215</v>
      </c>
      <c r="L142" s="20">
        <f>L136*SQRT(2)</f>
        <v>293.938769133981</v>
      </c>
      <c r="M142" s="16" t="s">
        <v>215</v>
      </c>
      <c r="N142" s="20">
        <f>N136*SQRT(2)</f>
        <v>293.93876913398162</v>
      </c>
      <c r="O142" s="15" t="s">
        <v>215</v>
      </c>
      <c r="P142" s="1"/>
      <c r="V142" s="623"/>
      <c r="W142" t="str">
        <f>IF(D130="On",COMPLEX(-(D137*COS(RADIANS(30))),-(D137*SIN(RADIANS(30)))),COMPLEX(-(0*COS(RADIANS(30))),-(0*SIN(RADIANS(30)))))</f>
        <v>-11.5-6.63952809568069i</v>
      </c>
      <c r="X142" t="str">
        <f>IF(F130="On",COMPLEX(-(F137*COS(RADIANS(-90))),-(F137*SIN(RADIANS(-90)))),COMPLEX(-(0*COS(RADIANS(-90))),-(0*SIN(RADIANS(-90)))))</f>
        <v>-8.13440758774559E-16+13.2790561913614i</v>
      </c>
      <c r="Y142" t="str">
        <f>IF(H130="On",COMPLEX(-(H137*COS(RADIANS(150))),-(H137*SIN(RADIANS(150)))),COMPLEX(-(0*COS(RADIANS(150))),-(0*SIN(RADIANS(150)))))</f>
        <v>11.5-6.63952809568069i</v>
      </c>
      <c r="Z142" s="96" t="s">
        <v>308</v>
      </c>
      <c r="AA142" t="str">
        <f>IF(J130="On",COMPLEX(-(J137*COS(RADIANS(30))),-(J137*SIN(RADIANS(30)))),COMPLEX(-(0*COS(RADIANS(30))),-(0*SIN(RADIANS(30)))))</f>
        <v>-9.58333333333333-5.53294007973391i</v>
      </c>
      <c r="AB142" t="str">
        <f>IF(L130="On",COMPLEX(-(L137*COS(RADIANS(-90))),-(L137*SIN(RADIANS(-90)))),COMPLEX(-(0*COS(RADIANS(-90))),-(0*SIN(RADIANS(-90)))))</f>
        <v>-6.77867298978799E-16+11.0658801594678i</v>
      </c>
      <c r="AC142" t="str">
        <f>IF(N130="On",COMPLEX(-(N137*COS(RADIANS(150))),-(N137*SIN(RADIANS(150)))),COMPLEX(-(0*COS(RADIANS(150))),-(0*SIN(RADIANS(150)))))</f>
        <v>9.58333333333333-5.53294007973391i</v>
      </c>
    </row>
    <row r="143" spans="1:30" x14ac:dyDescent="0.2">
      <c r="A143" s="1"/>
      <c r="B143" s="23" t="s">
        <v>223</v>
      </c>
      <c r="C143" s="1"/>
      <c r="D143" s="12">
        <f>D139*D141</f>
        <v>17.468009596212834</v>
      </c>
      <c r="E143" s="16" t="s">
        <v>215</v>
      </c>
      <c r="F143" s="14">
        <f>F139*F141</f>
        <v>17.46800959621287</v>
      </c>
      <c r="G143" s="16" t="s">
        <v>215</v>
      </c>
      <c r="H143" s="14">
        <f>H139*H141</f>
        <v>17.468009596212834</v>
      </c>
      <c r="I143" s="16" t="s">
        <v>215</v>
      </c>
      <c r="J143" s="14">
        <f>J139*J141</f>
        <v>12.754419705171275</v>
      </c>
      <c r="K143" s="16" t="s">
        <v>215</v>
      </c>
      <c r="L143" s="14">
        <f>L139*L141</f>
        <v>12.754419705171303</v>
      </c>
      <c r="M143" s="16" t="s">
        <v>215</v>
      </c>
      <c r="N143" s="14">
        <f>N139*N141</f>
        <v>12.754419705171275</v>
      </c>
      <c r="O143" s="15" t="s">
        <v>215</v>
      </c>
      <c r="P143" s="1"/>
      <c r="V143" s="623"/>
      <c r="Z143" s="90" t="s">
        <v>305</v>
      </c>
    </row>
    <row r="144" spans="1:30" x14ac:dyDescent="0.2">
      <c r="A144" s="1"/>
      <c r="B144" s="23" t="s">
        <v>225</v>
      </c>
      <c r="C144" s="1"/>
      <c r="D144" s="19">
        <f>D142-D143</f>
        <v>276.4707595377688</v>
      </c>
      <c r="E144" s="16" t="s">
        <v>215</v>
      </c>
      <c r="F144" s="20">
        <f>F142-F143</f>
        <v>276.47075953776812</v>
      </c>
      <c r="G144" s="16" t="s">
        <v>215</v>
      </c>
      <c r="H144" s="20">
        <f>H142-H143</f>
        <v>276.4707595377688</v>
      </c>
      <c r="I144" s="16" t="s">
        <v>215</v>
      </c>
      <c r="J144" s="20">
        <f>J142-J143</f>
        <v>281.18434942881032</v>
      </c>
      <c r="K144" s="16" t="s">
        <v>215</v>
      </c>
      <c r="L144" s="20">
        <f>L142-L143</f>
        <v>281.1843494288097</v>
      </c>
      <c r="M144" s="16" t="s">
        <v>215</v>
      </c>
      <c r="N144" s="20">
        <f>N142-N143</f>
        <v>281.18434942881032</v>
      </c>
      <c r="O144" s="15" t="s">
        <v>215</v>
      </c>
      <c r="P144" s="1"/>
      <c r="Q144" s="571" t="s">
        <v>317</v>
      </c>
      <c r="S144" s="89"/>
      <c r="T144" s="90" t="s">
        <v>166</v>
      </c>
      <c r="U144" s="90" t="s">
        <v>167</v>
      </c>
      <c r="V144" s="90" t="s">
        <v>168</v>
      </c>
      <c r="W144" s="90"/>
      <c r="X144" s="89"/>
      <c r="Y144" s="90" t="s">
        <v>217</v>
      </c>
      <c r="Z144" s="90" t="s">
        <v>218</v>
      </c>
      <c r="AA144" s="90" t="s">
        <v>219</v>
      </c>
      <c r="AB144" s="90" t="s">
        <v>220</v>
      </c>
      <c r="AC144" s="90" t="s">
        <v>221</v>
      </c>
      <c r="AD144" s="90" t="s">
        <v>222</v>
      </c>
    </row>
    <row r="145" spans="1:30" ht="17" thickBot="1" x14ac:dyDescent="0.25">
      <c r="A145" s="1"/>
      <c r="B145" s="24" t="s">
        <v>227</v>
      </c>
      <c r="C145" s="1"/>
      <c r="D145" s="141">
        <f>(D143*100)/D142</f>
        <v>5.9427375462168648</v>
      </c>
      <c r="E145" s="21" t="str">
        <f>IF(D145&gt;Data!$AF$13,"&lt;OVER!","% V Pk")</f>
        <v>% V Pk</v>
      </c>
      <c r="F145" s="142">
        <f>(F143*100)/F142</f>
        <v>5.9427375462168888</v>
      </c>
      <c r="G145" s="21" t="str">
        <f>IF(F145&gt;Data!$AF$13,"&lt;OVER!","% V Pk")</f>
        <v>% V Pk</v>
      </c>
      <c r="H145" s="142">
        <f>(H143*100)/H142</f>
        <v>5.9427375462168648</v>
      </c>
      <c r="I145" s="21" t="str">
        <f>IF(H145&gt;Data!$AF$13,"&lt;OVER!","% V Pk")</f>
        <v>% V Pk</v>
      </c>
      <c r="J145" s="142">
        <f>(J143*100)/J142</f>
        <v>4.3391417004123136</v>
      </c>
      <c r="K145" s="21" t="str">
        <f>IF(J145&gt;Data!$AF$13,"&lt;OVER!","% V Pk")</f>
        <v>% V Pk</v>
      </c>
      <c r="L145" s="142">
        <f>(L143*100)/L142</f>
        <v>4.3391417004123323</v>
      </c>
      <c r="M145" s="21" t="str">
        <f>IF(L145&gt;Data!$AF$13,"&lt;OVER!","% V Pk")</f>
        <v>% V Pk</v>
      </c>
      <c r="N145" s="142">
        <f>(N143*100)/N142</f>
        <v>4.3391417004123136</v>
      </c>
      <c r="O145" s="22" t="str">
        <f>IF(N145&gt;Data!$AF$13,"&lt;OVER!","% V Pk")</f>
        <v>% V Pk</v>
      </c>
      <c r="P145" s="1"/>
      <c r="Q145" s="571"/>
      <c r="S145" s="89" t="s">
        <v>224</v>
      </c>
      <c r="T145" s="90">
        <f>Data!$AF$6</f>
        <v>30</v>
      </c>
      <c r="U145" s="90">
        <f>Data!$AF$6</f>
        <v>30</v>
      </c>
      <c r="V145" s="90">
        <f>Data!$AF$6</f>
        <v>30</v>
      </c>
      <c r="W145" s="90"/>
      <c r="X145" s="89" t="s">
        <v>224</v>
      </c>
      <c r="Y145" s="90">
        <f>Data!$AF$7</f>
        <v>20</v>
      </c>
      <c r="Z145" s="90">
        <f>Data!$AF$7</f>
        <v>20</v>
      </c>
      <c r="AA145" s="90">
        <f>Data!$AF$7</f>
        <v>20</v>
      </c>
      <c r="AB145" s="90">
        <f>Data!$AF$7</f>
        <v>20</v>
      </c>
      <c r="AC145" s="90">
        <f>Data!$AF$7</f>
        <v>20</v>
      </c>
      <c r="AD145" s="90">
        <f>Data!$AF$7</f>
        <v>20</v>
      </c>
    </row>
    <row r="146" spans="1:30" x14ac:dyDescent="0.2">
      <c r="A146" s="1"/>
      <c r="B146" s="1"/>
      <c r="C146" s="1"/>
      <c r="D146" s="1"/>
      <c r="E146" s="1"/>
      <c r="F146" s="1"/>
      <c r="G146" s="1"/>
      <c r="H146" s="1"/>
      <c r="I146" s="1"/>
      <c r="J146" s="1"/>
      <c r="K146" s="1"/>
      <c r="L146" s="1"/>
      <c r="M146" s="1"/>
      <c r="N146" s="1"/>
      <c r="O146" s="1"/>
      <c r="P146" s="1"/>
      <c r="Q146" s="571"/>
      <c r="S146" s="89" t="s">
        <v>312</v>
      </c>
      <c r="T146" s="90">
        <f>Data!$AG$6</f>
        <v>24</v>
      </c>
      <c r="U146" s="90">
        <f>Data!$AG$6</f>
        <v>24</v>
      </c>
      <c r="V146" s="90">
        <f>Data!$AG$6</f>
        <v>24</v>
      </c>
      <c r="W146" s="90"/>
      <c r="X146" s="89" t="s">
        <v>312</v>
      </c>
      <c r="Y146" s="90">
        <f>Data!$AG$7</f>
        <v>16</v>
      </c>
      <c r="Z146" s="90">
        <f>Data!$AG$7</f>
        <v>16</v>
      </c>
      <c r="AA146" s="90">
        <f>Data!$AG$7</f>
        <v>16</v>
      </c>
      <c r="AB146" s="90">
        <f>Data!$AG$7</f>
        <v>16</v>
      </c>
      <c r="AC146" s="90">
        <f>Data!$AG$7</f>
        <v>16</v>
      </c>
      <c r="AD146" s="90">
        <f>Data!$AG$7</f>
        <v>16</v>
      </c>
    </row>
    <row r="147" spans="1:30" x14ac:dyDescent="0.2">
      <c r="A147" s="1"/>
      <c r="B147" s="1"/>
      <c r="C147" s="1"/>
      <c r="D147" s="1"/>
      <c r="E147" s="1"/>
      <c r="F147" s="1"/>
      <c r="G147" s="1"/>
      <c r="H147" s="1"/>
      <c r="I147" s="1"/>
      <c r="J147" s="1"/>
      <c r="K147" s="1"/>
      <c r="L147" s="1"/>
      <c r="M147" s="1"/>
      <c r="N147" s="1"/>
      <c r="O147" s="1"/>
      <c r="P147" s="1"/>
      <c r="Q147" s="571"/>
      <c r="S147" s="89" t="str">
        <f>'US MDM-5000'!B125</f>
        <v>MLTC A RMS</v>
      </c>
      <c r="T147" s="90">
        <f>'US MDM-5000'!D125</f>
        <v>23</v>
      </c>
      <c r="U147" s="90">
        <f>'US MDM-5000'!F125</f>
        <v>23.000000000000014</v>
      </c>
      <c r="V147" s="90">
        <f>'US MDM-5000'!H125</f>
        <v>19.166666666666629</v>
      </c>
      <c r="W147" s="90"/>
      <c r="X147" s="89" t="s">
        <v>226</v>
      </c>
      <c r="Y147" s="90">
        <f>Data!$AF$8</f>
        <v>80</v>
      </c>
      <c r="Z147" s="90">
        <f>Data!$AF$8</f>
        <v>80</v>
      </c>
      <c r="AA147" s="90">
        <f>Data!$AF$8</f>
        <v>80</v>
      </c>
      <c r="AB147" s="90">
        <f>Data!$AF$8</f>
        <v>80</v>
      </c>
      <c r="AC147" s="90">
        <f>Data!$AF$8</f>
        <v>80</v>
      </c>
      <c r="AD147" s="90">
        <f>Data!$AF$8</f>
        <v>80</v>
      </c>
    </row>
    <row r="148" spans="1:30" x14ac:dyDescent="0.2">
      <c r="A148" s="1"/>
      <c r="B148" s="1"/>
      <c r="C148" s="1"/>
      <c r="D148" s="1"/>
      <c r="E148" s="1"/>
      <c r="F148" s="1"/>
      <c r="G148" s="1"/>
      <c r="H148" s="1"/>
      <c r="I148" s="1"/>
      <c r="J148" s="1"/>
      <c r="K148" s="1"/>
      <c r="L148" s="1"/>
      <c r="M148" s="1"/>
      <c r="N148" s="1"/>
      <c r="O148" s="1"/>
      <c r="P148" s="1"/>
      <c r="Q148" s="571"/>
      <c r="S148" s="89" t="str">
        <f>'US MDM-5000'!B126</f>
        <v>Apparent Power</v>
      </c>
      <c r="T148" s="90">
        <f>'US MDM-5000'!D126</f>
        <v>4231.9999999999918</v>
      </c>
      <c r="U148" s="90">
        <f>'US MDM-5000'!F126</f>
        <v>4231.9999999999973</v>
      </c>
      <c r="V148" s="90">
        <f>'US MDM-5000'!H126</f>
        <v>4323.9999999999945</v>
      </c>
      <c r="W148" s="90"/>
      <c r="X148" s="89" t="str">
        <f>'US MDM-5000'!B137</f>
        <v>MLTC RMS</v>
      </c>
      <c r="Y148" s="91">
        <f>'US MDM-5000'!$D137</f>
        <v>13.279056191361381</v>
      </c>
      <c r="Z148" s="91">
        <f>'US MDM-5000'!F137</f>
        <v>13.279056191361409</v>
      </c>
      <c r="AA148" s="90">
        <f>'US MDM-5000'!H137</f>
        <v>13.279056191361381</v>
      </c>
      <c r="AB148" s="90">
        <f>'US MDM-5000'!J137</f>
        <v>11.065880159467818</v>
      </c>
      <c r="AC148" s="90">
        <f>'US MDM-5000'!L137</f>
        <v>11.065880159467842</v>
      </c>
      <c r="AD148" s="90">
        <f>'US MDM-5000'!N137</f>
        <v>11.065880159467818</v>
      </c>
    </row>
    <row r="149" spans="1:30" x14ac:dyDescent="0.2">
      <c r="A149" s="1"/>
      <c r="B149" s="1"/>
      <c r="C149" s="1"/>
      <c r="D149" s="1"/>
      <c r="E149" s="1"/>
      <c r="F149" s="1"/>
      <c r="G149" s="1"/>
      <c r="H149" s="1"/>
      <c r="I149" s="1"/>
      <c r="J149" s="1"/>
      <c r="K149" s="1"/>
      <c r="L149" s="1"/>
      <c r="M149" s="1"/>
      <c r="N149" s="1"/>
      <c r="O149" s="1"/>
      <c r="P149" s="1"/>
      <c r="Q149" s="571"/>
      <c r="S149" s="89" t="str">
        <f>'US MDM-5000'!B127</f>
        <v>Real Power</v>
      </c>
      <c r="T149" s="90">
        <f>'US MDM-5000'!D127</f>
        <v>2760</v>
      </c>
      <c r="U149" s="90">
        <f>'US MDM-5000'!F127</f>
        <v>2760.0000000000018</v>
      </c>
      <c r="V149" s="90">
        <f>'US MDM-5000'!H127</f>
        <v>2299.9999999999955</v>
      </c>
      <c r="W149" s="90"/>
      <c r="X149" s="89" t="str">
        <f>'US MDM-5000'!B138</f>
        <v>Burst RMS</v>
      </c>
      <c r="Y149" s="90">
        <f>'US MDM-5000'!D138</f>
        <v>20.361219493420784</v>
      </c>
      <c r="Z149" s="90">
        <f>'US MDM-5000'!F138</f>
        <v>20.36121949342083</v>
      </c>
      <c r="AA149" s="90">
        <f>'US MDM-5000'!H138</f>
        <v>20.361219493420784</v>
      </c>
      <c r="AB149" s="90">
        <f>'US MDM-5000'!J138</f>
        <v>20.803854699799498</v>
      </c>
      <c r="AC149" s="90">
        <f>'US MDM-5000'!L138</f>
        <v>20.803854699799544</v>
      </c>
      <c r="AD149" s="90">
        <f>'US MDM-5000'!N138</f>
        <v>20.803854699799498</v>
      </c>
    </row>
    <row r="150" spans="1:30" x14ac:dyDescent="0.2">
      <c r="A150" s="1"/>
      <c r="B150" s="1"/>
      <c r="C150" s="1"/>
      <c r="D150" s="1"/>
      <c r="E150" s="1"/>
      <c r="F150" s="1"/>
      <c r="G150" s="1"/>
      <c r="H150" s="1"/>
      <c r="I150" s="1"/>
      <c r="J150" s="1"/>
      <c r="K150" s="1"/>
      <c r="L150" s="1"/>
      <c r="M150" s="1"/>
      <c r="N150" s="1"/>
      <c r="O150" s="1"/>
      <c r="P150" s="1"/>
      <c r="Q150" s="571"/>
      <c r="S150" s="89"/>
      <c r="T150" s="90"/>
      <c r="U150" s="90"/>
      <c r="V150" s="90"/>
      <c r="W150" s="90"/>
      <c r="X150" s="89" t="str">
        <f>'US MDM-5000'!B139</f>
        <v>Max Inst Pk</v>
      </c>
      <c r="Y150" s="90">
        <f>'US MDM-5000'!D139</f>
        <v>55.772036003717801</v>
      </c>
      <c r="Z150" s="90">
        <f>'US MDM-5000'!F139</f>
        <v>55.772036003717922</v>
      </c>
      <c r="AA150" s="90">
        <f>'US MDM-5000'!H139</f>
        <v>55.772036003717801</v>
      </c>
      <c r="AB150" s="90">
        <f>'US MDM-5000'!J139</f>
        <v>40.722438986841567</v>
      </c>
      <c r="AC150" s="90">
        <f>'US MDM-5000'!L139</f>
        <v>40.722438986841659</v>
      </c>
      <c r="AD150" s="90">
        <f>'US MDM-5000'!N139</f>
        <v>40.722438986841567</v>
      </c>
    </row>
    <row r="151" spans="1:30" x14ac:dyDescent="0.2">
      <c r="A151" s="1"/>
      <c r="B151" s="1"/>
      <c r="C151" s="1"/>
      <c r="D151" s="1"/>
      <c r="E151" s="1"/>
      <c r="F151" s="1"/>
      <c r="G151" s="1"/>
      <c r="H151" s="1"/>
      <c r="I151" s="1"/>
      <c r="J151" s="1"/>
      <c r="K151" s="1"/>
      <c r="L151" s="1"/>
      <c r="M151" s="1"/>
      <c r="N151" s="1"/>
      <c r="O151" s="1"/>
      <c r="P151" s="1"/>
      <c r="Q151" s="571"/>
      <c r="S151" s="89"/>
      <c r="T151" s="90"/>
      <c r="U151" s="90"/>
      <c r="V151" s="90"/>
      <c r="W151" s="90"/>
      <c r="X151" s="89"/>
      <c r="Y151" s="90"/>
      <c r="Z151" s="90"/>
      <c r="AA151" s="90"/>
      <c r="AB151" s="90"/>
      <c r="AC151" s="90"/>
      <c r="AD151" s="90"/>
    </row>
    <row r="152" spans="1:30" x14ac:dyDescent="0.2">
      <c r="A152" s="1"/>
      <c r="B152" s="1"/>
      <c r="C152" s="1"/>
      <c r="D152" s="1"/>
      <c r="E152" s="1"/>
      <c r="F152" s="1"/>
      <c r="G152" s="1"/>
      <c r="H152" s="1"/>
      <c r="I152" s="1"/>
      <c r="J152" s="1"/>
      <c r="K152" s="1"/>
      <c r="L152" s="1"/>
      <c r="M152" s="1"/>
      <c r="N152" s="1"/>
      <c r="O152" s="1"/>
      <c r="P152" s="1"/>
      <c r="Q152" s="571"/>
      <c r="S152" s="89" t="s">
        <v>228</v>
      </c>
      <c r="T152" s="90">
        <f>IF(T147&lt;=T146,(100*T147)/T145,100*T146/T145)</f>
        <v>76.666666666666671</v>
      </c>
      <c r="U152" s="90">
        <f>IF(U147&lt;=U146,(100*U147)/U145,100*U146/U145)</f>
        <v>76.666666666666714</v>
      </c>
      <c r="V152" s="90">
        <f>IF(V147&lt;=V146,(100*V147)/V145,100*V146/V145)</f>
        <v>63.888888888888765</v>
      </c>
      <c r="W152" s="90"/>
      <c r="X152" s="89" t="s">
        <v>228</v>
      </c>
      <c r="Y152" s="90">
        <f t="shared" ref="Y152:AD152" si="23">IF(Y148&lt;=Y146,(100*Y148)/Y145,100*Y146/Y145)</f>
        <v>66.3952809568069</v>
      </c>
      <c r="Z152" s="90">
        <f t="shared" si="23"/>
        <v>66.395280956807056</v>
      </c>
      <c r="AA152" s="90">
        <f t="shared" si="23"/>
        <v>66.3952809568069</v>
      </c>
      <c r="AB152" s="90">
        <f t="shared" si="23"/>
        <v>55.32940079733909</v>
      </c>
      <c r="AC152" s="90">
        <f t="shared" si="23"/>
        <v>55.329400797339211</v>
      </c>
      <c r="AD152" s="90">
        <f t="shared" si="23"/>
        <v>55.32940079733909</v>
      </c>
    </row>
    <row r="153" spans="1:30" x14ac:dyDescent="0.2">
      <c r="A153" s="1"/>
      <c r="B153" s="1"/>
      <c r="C153" s="1"/>
      <c r="D153" s="1"/>
      <c r="E153" s="1"/>
      <c r="F153" s="1"/>
      <c r="G153" s="1"/>
      <c r="H153" s="1"/>
      <c r="I153" s="1"/>
      <c r="J153" s="1"/>
      <c r="K153" s="1"/>
      <c r="L153" s="1"/>
      <c r="M153" s="1"/>
      <c r="N153" s="1"/>
      <c r="O153" s="1"/>
      <c r="P153" s="1"/>
      <c r="Q153" s="571"/>
      <c r="S153" s="89" t="s">
        <v>313</v>
      </c>
      <c r="T153">
        <f>IF(T147&lt;=T146,0,((100*T147)/T145)-T152)</f>
        <v>0</v>
      </c>
      <c r="U153">
        <f>IF(U147&lt;=U146,0,((100*U147)/U145)-U152)</f>
        <v>0</v>
      </c>
      <c r="V153">
        <f>IF(V147&lt;=V146,0,((100*V147)/V145)-V152)</f>
        <v>0</v>
      </c>
      <c r="W153" s="90"/>
      <c r="X153" s="89" t="s">
        <v>313</v>
      </c>
      <c r="Y153" s="90">
        <f t="shared" ref="Y153:AD153" si="24">IF(Y148&lt;=Y146,0,((100*Y148)/Y145)-Y152)</f>
        <v>0</v>
      </c>
      <c r="Z153" s="90">
        <f t="shared" si="24"/>
        <v>0</v>
      </c>
      <c r="AA153" s="90">
        <f t="shared" si="24"/>
        <v>0</v>
      </c>
      <c r="AB153" s="90">
        <f t="shared" si="24"/>
        <v>0</v>
      </c>
      <c r="AC153" s="90">
        <f t="shared" si="24"/>
        <v>0</v>
      </c>
      <c r="AD153" s="90">
        <f t="shared" si="24"/>
        <v>0</v>
      </c>
    </row>
    <row r="154" spans="1:30" x14ac:dyDescent="0.2">
      <c r="A154" s="1"/>
      <c r="B154" s="1"/>
      <c r="C154" s="1"/>
      <c r="D154" s="1"/>
      <c r="E154" s="1"/>
      <c r="F154" s="1"/>
      <c r="G154" s="1"/>
      <c r="H154" s="1"/>
      <c r="I154" s="1"/>
      <c r="J154" s="1"/>
      <c r="K154" s="1"/>
      <c r="L154" s="1"/>
      <c r="M154" s="1"/>
      <c r="N154" s="1"/>
      <c r="O154" s="1"/>
      <c r="P154" s="1"/>
      <c r="Q154" s="571"/>
      <c r="S154" s="89" t="s">
        <v>229</v>
      </c>
      <c r="T154" s="90">
        <f>(T152+T153)-100</f>
        <v>-23.333333333333329</v>
      </c>
      <c r="U154" s="90">
        <f>(U152+U153)-100</f>
        <v>-23.333333333333286</v>
      </c>
      <c r="V154" s="90">
        <f>(V152+V153)-100</f>
        <v>-36.111111111111235</v>
      </c>
      <c r="W154" s="90"/>
      <c r="X154" s="89" t="s">
        <v>229</v>
      </c>
      <c r="Y154" s="90">
        <f t="shared" ref="Y154:AD154" si="25">(Y152+Y153)-100</f>
        <v>-33.6047190431931</v>
      </c>
      <c r="Z154" s="90">
        <f t="shared" si="25"/>
        <v>-33.604719043192944</v>
      </c>
      <c r="AA154" s="90">
        <f t="shared" si="25"/>
        <v>-33.6047190431931</v>
      </c>
      <c r="AB154" s="90">
        <f t="shared" si="25"/>
        <v>-44.67059920266091</v>
      </c>
      <c r="AC154" s="90">
        <f t="shared" si="25"/>
        <v>-44.670599202660789</v>
      </c>
      <c r="AD154" s="90">
        <f t="shared" si="25"/>
        <v>-44.67059920266091</v>
      </c>
    </row>
    <row r="155" spans="1:30" x14ac:dyDescent="0.2">
      <c r="A155" s="1"/>
      <c r="B155" s="1"/>
      <c r="C155" s="1"/>
      <c r="D155" s="1"/>
      <c r="E155" s="1"/>
      <c r="F155" s="1"/>
      <c r="G155" s="1"/>
      <c r="H155" s="1"/>
      <c r="I155" s="1"/>
      <c r="J155" s="1"/>
      <c r="K155" s="1"/>
      <c r="L155" s="1"/>
      <c r="M155" s="1"/>
      <c r="N155" s="1"/>
      <c r="O155" s="1"/>
      <c r="P155" s="1"/>
      <c r="Q155" s="571"/>
      <c r="S155" s="89" t="s">
        <v>314</v>
      </c>
      <c r="T155">
        <f>IF(T153=0,0,IF(T153&gt;100-T152,100-T152,T153))</f>
        <v>0</v>
      </c>
      <c r="U155">
        <f>IF(U153=0,0,IF(U153&gt;100-U152,100-U152,U153))</f>
        <v>0</v>
      </c>
      <c r="V155">
        <f>IF(V153=0,0,IF(V153&gt;100-V152,100-V152,V153))</f>
        <v>0</v>
      </c>
      <c r="W155" s="90"/>
      <c r="X155" s="89" t="s">
        <v>314</v>
      </c>
      <c r="Y155" s="90">
        <f t="shared" ref="Y155:AD155" si="26">IF(Y153=0,0,IF(Y153&gt;100-Y152,100-Y152,Y153))</f>
        <v>0</v>
      </c>
      <c r="Z155" s="90">
        <f t="shared" si="26"/>
        <v>0</v>
      </c>
      <c r="AA155" s="90">
        <f t="shared" si="26"/>
        <v>0</v>
      </c>
      <c r="AB155" s="90">
        <f t="shared" si="26"/>
        <v>0</v>
      </c>
      <c r="AC155" s="90">
        <f t="shared" si="26"/>
        <v>0</v>
      </c>
      <c r="AD155" s="90">
        <f t="shared" si="26"/>
        <v>0</v>
      </c>
    </row>
    <row r="156" spans="1:30" x14ac:dyDescent="0.2">
      <c r="A156" s="1"/>
      <c r="B156" s="1"/>
      <c r="C156" s="1"/>
      <c r="D156" s="1"/>
      <c r="E156" s="1"/>
      <c r="F156" s="1"/>
      <c r="G156" s="1"/>
      <c r="H156" s="1"/>
      <c r="I156" s="1"/>
      <c r="J156" s="1"/>
      <c r="K156" s="1"/>
      <c r="L156" s="1"/>
      <c r="M156" s="1"/>
      <c r="N156" s="1"/>
      <c r="O156" s="1"/>
      <c r="P156" s="1"/>
      <c r="Q156" s="571"/>
      <c r="S156" s="89" t="s">
        <v>231</v>
      </c>
      <c r="T156" s="90" t="e">
        <f>IF(T152+T153&gt;100,(T152+T153)-(T155+T152),NA())</f>
        <v>#N/A</v>
      </c>
      <c r="U156" s="90" t="e">
        <f>IF(U152+U153&gt;100,(U152+U153)-(U155+U152),NA())</f>
        <v>#N/A</v>
      </c>
      <c r="V156" s="90" t="e">
        <f>IF(V152+V153&gt;100,(V152+V153)-(V155+V152),NA())</f>
        <v>#N/A</v>
      </c>
      <c r="W156" s="90"/>
      <c r="X156" s="89" t="s">
        <v>231</v>
      </c>
      <c r="Y156" s="90" t="e">
        <f t="shared" ref="Y156:AD156" si="27">IF(Y152+Y153&gt;100,(Y152+Y153)-(Y155+Y152),NA())</f>
        <v>#N/A</v>
      </c>
      <c r="Z156" s="90" t="e">
        <f t="shared" si="27"/>
        <v>#N/A</v>
      </c>
      <c r="AA156" s="90" t="e">
        <f t="shared" si="27"/>
        <v>#N/A</v>
      </c>
      <c r="AB156" s="90" t="e">
        <f t="shared" si="27"/>
        <v>#N/A</v>
      </c>
      <c r="AC156" s="90" t="e">
        <f t="shared" si="27"/>
        <v>#N/A</v>
      </c>
      <c r="AD156" s="90" t="e">
        <f t="shared" si="27"/>
        <v>#N/A</v>
      </c>
    </row>
    <row r="157" spans="1:30" x14ac:dyDescent="0.2">
      <c r="A157" s="1"/>
      <c r="B157" s="1"/>
      <c r="C157" s="1"/>
      <c r="D157" s="1"/>
      <c r="E157" s="1"/>
      <c r="F157" s="1"/>
      <c r="G157" s="1"/>
      <c r="H157" s="1"/>
      <c r="I157" s="1"/>
      <c r="J157" s="1"/>
      <c r="K157" s="1"/>
      <c r="L157" s="1"/>
      <c r="M157" s="1"/>
      <c r="N157" s="1"/>
      <c r="O157" s="1"/>
      <c r="P157" s="1"/>
      <c r="Q157" s="571"/>
      <c r="S157" s="89"/>
      <c r="W157" s="90"/>
      <c r="X157" s="89" t="s">
        <v>232</v>
      </c>
      <c r="Y157" s="90">
        <f>Data!$AF$13</f>
        <v>10</v>
      </c>
      <c r="Z157" s="90">
        <f>Data!$AF$13</f>
        <v>10</v>
      </c>
      <c r="AA157" s="90">
        <f>Data!$AF$13</f>
        <v>10</v>
      </c>
      <c r="AB157" s="90">
        <f>Data!$AF$13</f>
        <v>10</v>
      </c>
      <c r="AC157" s="90">
        <f>Data!$AF$13</f>
        <v>10</v>
      </c>
      <c r="AD157" s="90">
        <f>Data!$AF$13</f>
        <v>10</v>
      </c>
    </row>
    <row r="158" spans="1:30" x14ac:dyDescent="0.2">
      <c r="A158" s="1"/>
      <c r="B158" s="1"/>
      <c r="C158" s="1"/>
      <c r="D158" s="1"/>
      <c r="E158" s="1"/>
      <c r="F158" s="1"/>
      <c r="G158" s="1"/>
      <c r="H158" s="1"/>
      <c r="I158" s="1"/>
      <c r="J158" s="1"/>
      <c r="K158" s="1"/>
      <c r="L158" s="1"/>
      <c r="M158" s="1"/>
      <c r="N158" s="1"/>
      <c r="O158" s="1"/>
      <c r="P158" s="1"/>
      <c r="Q158" s="571"/>
      <c r="S158" s="89"/>
      <c r="T158" s="90"/>
      <c r="U158" s="90"/>
      <c r="V158" s="90"/>
      <c r="W158" s="90"/>
      <c r="X158" s="89" t="s">
        <v>233</v>
      </c>
      <c r="Y158" s="92">
        <f>'US MDM-5000'!D145</f>
        <v>5.9427375462168648</v>
      </c>
      <c r="Z158" s="92">
        <f>'US MDM-5000'!F145</f>
        <v>5.9427375462168888</v>
      </c>
      <c r="AA158" s="92">
        <f>'US MDM-5000'!H145</f>
        <v>5.9427375462168648</v>
      </c>
      <c r="AB158" s="92">
        <f>'US MDM-5000'!J145</f>
        <v>4.3391417004123136</v>
      </c>
      <c r="AC158" s="92">
        <f>'US MDM-5000'!L145</f>
        <v>4.3391417004123323</v>
      </c>
      <c r="AD158" s="92">
        <f>'US MDM-5000'!N145</f>
        <v>4.3391417004123136</v>
      </c>
    </row>
    <row r="159" spans="1:30" x14ac:dyDescent="0.2">
      <c r="A159" s="1"/>
      <c r="B159" s="1"/>
      <c r="C159" s="1"/>
      <c r="D159" s="1"/>
      <c r="E159" s="1"/>
      <c r="F159" s="1"/>
      <c r="G159" s="1"/>
      <c r="H159" s="1"/>
      <c r="I159" s="1"/>
      <c r="J159" s="1"/>
      <c r="K159" s="1"/>
      <c r="L159" s="1"/>
      <c r="M159" s="1"/>
      <c r="N159" s="1"/>
      <c r="O159" s="1"/>
      <c r="P159" s="1"/>
      <c r="Q159" s="571"/>
      <c r="S159" s="89"/>
      <c r="T159" s="90"/>
      <c r="U159" s="90"/>
      <c r="V159" s="90"/>
      <c r="W159" s="90"/>
      <c r="X159" s="89" t="s">
        <v>234</v>
      </c>
      <c r="Y159" s="90">
        <f t="shared" ref="Y159:AD159" si="28">IF(-Y158&gt;-Y157,-Y158,-Y157)</f>
        <v>-5.9427375462168648</v>
      </c>
      <c r="Z159" s="90">
        <f t="shared" si="28"/>
        <v>-5.9427375462168888</v>
      </c>
      <c r="AA159" s="90">
        <f t="shared" si="28"/>
        <v>-5.9427375462168648</v>
      </c>
      <c r="AB159" s="90">
        <f t="shared" si="28"/>
        <v>-4.3391417004123136</v>
      </c>
      <c r="AC159" s="90">
        <f t="shared" si="28"/>
        <v>-4.3391417004123323</v>
      </c>
      <c r="AD159" s="90">
        <f t="shared" si="28"/>
        <v>-4.3391417004123136</v>
      </c>
    </row>
    <row r="160" spans="1:30" ht="17" thickBot="1" x14ac:dyDescent="0.25">
      <c r="A160" s="1"/>
      <c r="B160" s="71" t="str">
        <f>Data!$T$1</f>
        <v>Meyer Sound Laboratories, Inc. Berkeley, California, USA                                 www.meyersound.com</v>
      </c>
      <c r="C160" s="1"/>
      <c r="D160" s="1"/>
      <c r="E160" s="1"/>
      <c r="F160" s="1"/>
      <c r="G160" s="1"/>
      <c r="H160" s="1"/>
      <c r="I160" s="1"/>
      <c r="J160" s="1"/>
      <c r="K160" s="1"/>
      <c r="L160" s="1"/>
      <c r="M160" s="1"/>
      <c r="N160" s="1"/>
      <c r="O160" s="1"/>
      <c r="P160" s="392" t="str">
        <f>Data!$G$1</f>
        <v>© 2021</v>
      </c>
      <c r="Q160" s="571"/>
      <c r="S160" s="89"/>
      <c r="T160" s="90"/>
      <c r="U160" s="90"/>
      <c r="V160" s="90"/>
      <c r="W160" s="90"/>
      <c r="X160" s="89" t="s">
        <v>235</v>
      </c>
      <c r="Y160" s="90" t="e">
        <f t="shared" ref="Y160:AD160" si="29">IF(-Y158&gt;-Y157,NA(),-Y158+Y157)</f>
        <v>#N/A</v>
      </c>
      <c r="Z160" s="90" t="e">
        <f t="shared" si="29"/>
        <v>#N/A</v>
      </c>
      <c r="AA160" s="90" t="e">
        <f t="shared" si="29"/>
        <v>#N/A</v>
      </c>
      <c r="AB160" s="90" t="e">
        <f t="shared" si="29"/>
        <v>#N/A</v>
      </c>
      <c r="AC160" s="90" t="e">
        <f t="shared" si="29"/>
        <v>#N/A</v>
      </c>
      <c r="AD160" s="90" t="e">
        <f t="shared" si="29"/>
        <v>#N/A</v>
      </c>
    </row>
    <row r="161" spans="1:29" x14ac:dyDescent="0.2">
      <c r="A161" s="133"/>
      <c r="B161" s="133"/>
      <c r="C161" s="133"/>
      <c r="D161" s="133"/>
      <c r="E161" s="133"/>
      <c r="F161" s="133"/>
      <c r="G161" s="133"/>
      <c r="H161" s="133"/>
      <c r="I161" s="133"/>
      <c r="J161" s="133"/>
      <c r="K161" s="133"/>
      <c r="L161" s="133"/>
      <c r="M161" s="133"/>
      <c r="N161" s="133"/>
      <c r="O161" s="163" t="str">
        <f>Data!$M$1</f>
        <v>06.257.005.01 C</v>
      </c>
      <c r="P161" s="133"/>
      <c r="W161" t="s">
        <v>272</v>
      </c>
      <c r="Z161" s="90"/>
      <c r="AA161" t="s">
        <v>272</v>
      </c>
    </row>
    <row r="162" spans="1:29" x14ac:dyDescent="0.2">
      <c r="A162" s="1"/>
      <c r="B162" s="10" t="s">
        <v>192</v>
      </c>
      <c r="C162" s="1"/>
      <c r="D162" s="73" t="s">
        <v>279</v>
      </c>
      <c r="E162" s="73" t="s">
        <v>280</v>
      </c>
      <c r="F162" s="73" t="s">
        <v>281</v>
      </c>
      <c r="G162" s="74" t="s">
        <v>282</v>
      </c>
      <c r="H162" s="74" t="s">
        <v>283</v>
      </c>
      <c r="I162" s="74" t="s">
        <v>284</v>
      </c>
      <c r="J162" s="1"/>
      <c r="K162" s="627" t="s">
        <v>160</v>
      </c>
      <c r="L162" s="628"/>
      <c r="M162" s="104" t="s">
        <v>158</v>
      </c>
      <c r="N162" s="70"/>
      <c r="O162" s="72">
        <v>12</v>
      </c>
      <c r="P162" s="1"/>
      <c r="V162" s="623" t="s">
        <v>104</v>
      </c>
      <c r="W162" s="93">
        <f>D163*COS(RADIANS(0))</f>
        <v>120</v>
      </c>
      <c r="X162" s="93">
        <f>E163*COS(RADIANS(-120))</f>
        <v>-59.999999999999972</v>
      </c>
      <c r="Y162" s="93">
        <f>F163*COS(RADIANS(120))</f>
        <v>-59.999999999999972</v>
      </c>
      <c r="Z162" s="95" t="s">
        <v>285</v>
      </c>
      <c r="AA162" s="93">
        <f>G163*COS(RADIANS(0))</f>
        <v>120</v>
      </c>
      <c r="AB162" s="93">
        <f>H163*COS(RADIANS(-120))</f>
        <v>-59.999999999999972</v>
      </c>
      <c r="AC162" s="93">
        <f>I163*COS(RADIANS(120))</f>
        <v>-59.999999999999972</v>
      </c>
    </row>
    <row r="163" spans="1:29" x14ac:dyDescent="0.2">
      <c r="A163" s="1"/>
      <c r="B163" s="69"/>
      <c r="C163" s="1"/>
      <c r="D163" s="139">
        <f>'Master US'!$D$4</f>
        <v>120</v>
      </c>
      <c r="E163" s="139">
        <f>'Master US'!$G$4</f>
        <v>120</v>
      </c>
      <c r="F163" s="139">
        <f>'Master US'!$J$4</f>
        <v>120</v>
      </c>
      <c r="G163" s="139">
        <f>'Master US'!$D$4</f>
        <v>120</v>
      </c>
      <c r="H163" s="139">
        <f>'Master US'!$G$4</f>
        <v>120</v>
      </c>
      <c r="I163" s="139">
        <f>'Master US'!$J$4</f>
        <v>120</v>
      </c>
      <c r="J163" s="97"/>
      <c r="K163" s="103" t="s">
        <v>286</v>
      </c>
      <c r="L163" s="103" t="s">
        <v>287</v>
      </c>
      <c r="M163" s="71"/>
      <c r="N163" s="134"/>
      <c r="O163" s="1"/>
      <c r="P163" s="1"/>
      <c r="V163" s="623"/>
      <c r="W163" s="93">
        <f>D163*SIN(RADIANS(0))</f>
        <v>0</v>
      </c>
      <c r="X163" s="93">
        <f>E163*SIN(RADIANS(-120))</f>
        <v>-103.92304845413264</v>
      </c>
      <c r="Y163" s="93">
        <f>F163*SIN(RADIANS(120))</f>
        <v>103.92304845413264</v>
      </c>
      <c r="Z163" s="95" t="s">
        <v>288</v>
      </c>
      <c r="AA163" s="93">
        <f>G163*SIN(RADIANS(0))</f>
        <v>0</v>
      </c>
      <c r="AB163" s="93">
        <f>H163*SIN(RADIANS(-120))</f>
        <v>-103.92304845413264</v>
      </c>
      <c r="AC163" s="93">
        <f>I163*SIN(RADIANS(120))</f>
        <v>103.92304845413264</v>
      </c>
    </row>
    <row r="164" spans="1:29" ht="5" customHeight="1" x14ac:dyDescent="0.25">
      <c r="A164" s="1"/>
      <c r="B164" s="2"/>
      <c r="C164" s="1"/>
      <c r="D164" s="5"/>
      <c r="E164" s="40"/>
      <c r="F164" s="5">
        <v>100</v>
      </c>
      <c r="G164" s="40"/>
      <c r="H164" s="5"/>
      <c r="I164" s="8"/>
      <c r="J164" s="98"/>
      <c r="K164" s="98"/>
      <c r="L164" s="1"/>
      <c r="M164" s="1"/>
      <c r="N164" s="1"/>
      <c r="O164" s="1"/>
      <c r="P164" s="1"/>
      <c r="V164" s="623"/>
      <c r="W164" s="93"/>
      <c r="X164" s="93"/>
      <c r="Y164" s="93"/>
      <c r="Z164" s="95"/>
      <c r="AA164" s="93"/>
      <c r="AB164" s="93"/>
      <c r="AC164" s="93"/>
    </row>
    <row r="165" spans="1:29" ht="15" customHeight="1" x14ac:dyDescent="0.25">
      <c r="A165" s="1"/>
      <c r="B165" s="23" t="s">
        <v>289</v>
      </c>
      <c r="C165" s="1"/>
      <c r="D165" s="75">
        <f>IMABS(W171)</f>
        <v>23</v>
      </c>
      <c r="E165" s="75">
        <f>IMABS(X171)</f>
        <v>23.000000000000014</v>
      </c>
      <c r="F165" s="75">
        <f>IMABS(Y171)</f>
        <v>23.000000000000014</v>
      </c>
      <c r="G165" s="75">
        <f>IMABS(AA171)</f>
        <v>19.1666666666667</v>
      </c>
      <c r="H165" s="75">
        <f>IMABS(AB171)</f>
        <v>19.166666666666629</v>
      </c>
      <c r="I165" s="75">
        <f>IMABS(AC171)</f>
        <v>19.166666666666629</v>
      </c>
      <c r="J165" s="102" t="s">
        <v>116</v>
      </c>
      <c r="K165" s="98"/>
      <c r="L165" s="1"/>
      <c r="M165" s="629" t="str">
        <f>IF('US MDM-5000'!U174=0,"O K pass UL",IF(AND('US MDM-5000'!S174=0,'US MDM-5000'!T174&gt;0),"OK Not UL",IF(AND('US MDM-5000'!S174&gt;0,'US MDM-5000'!T174&gt;0),"N O !","N O !")))</f>
        <v>O K pass UL</v>
      </c>
      <c r="N165" s="630"/>
      <c r="O165" s="635">
        <v>5</v>
      </c>
      <c r="P165" s="71"/>
      <c r="V165" s="623"/>
      <c r="W165" s="92" t="str">
        <f>COMPLEX(W162,W163)</f>
        <v>120</v>
      </c>
      <c r="X165" s="92" t="str">
        <f>COMPLEX(X162,X163)</f>
        <v>-60-103.923048454133i</v>
      </c>
      <c r="Y165" s="92" t="str">
        <f>COMPLEX(Y162,Y163)</f>
        <v>-60+103.923048454133i</v>
      </c>
      <c r="Z165" s="95" t="s">
        <v>290</v>
      </c>
      <c r="AA165" s="92" t="str">
        <f>COMPLEX(AA162,AA163)</f>
        <v>120</v>
      </c>
      <c r="AB165" s="92" t="str">
        <f>COMPLEX(AB162,AB163)</f>
        <v>-60-103.923048454133i</v>
      </c>
      <c r="AC165" s="92" t="str">
        <f>COMPLEX(AC162,AC163)</f>
        <v>-60+103.923048454133i</v>
      </c>
    </row>
    <row r="166" spans="1:29" ht="15" customHeight="1" x14ac:dyDescent="0.2">
      <c r="A166" s="1"/>
      <c r="B166" s="23" t="s">
        <v>291</v>
      </c>
      <c r="C166" s="1"/>
      <c r="D166" s="146">
        <f>D163*W166</f>
        <v>4231.9999999999918</v>
      </c>
      <c r="E166" s="146">
        <f>E163*X166</f>
        <v>4231.9999999999973</v>
      </c>
      <c r="F166" s="146">
        <f>F163*Y166</f>
        <v>4231.9999999999973</v>
      </c>
      <c r="G166" s="146">
        <f>G163*AA166</f>
        <v>4324.0000000000082</v>
      </c>
      <c r="H166" s="146">
        <f>H163*AB166</f>
        <v>4323.9999999999945</v>
      </c>
      <c r="I166" s="146">
        <f>I163*AC166</f>
        <v>4323.9999999999945</v>
      </c>
      <c r="J166" s="100" t="s">
        <v>265</v>
      </c>
      <c r="K166" s="106">
        <f>(SQRT(POWER(E163,2)+POWER(F163,2)+POWER(D163,2)))*(SQRT(POWER(E165,2)+POWER(F165,2)+POWER(D165,2)))</f>
        <v>8280.0000000000036</v>
      </c>
      <c r="L166" s="107">
        <f>(SQRT(POWER(H163,2)+POWER(I163,2)+POWER(G163,2)))*(SQRT(POWER(H165,2)+POWER(I165,2)+POWER(G165,2)))</f>
        <v>6899.9999999999955</v>
      </c>
      <c r="M166" s="631"/>
      <c r="N166" s="632"/>
      <c r="O166" s="635"/>
      <c r="P166" s="71"/>
      <c r="V166" s="623" t="s">
        <v>292</v>
      </c>
      <c r="W166">
        <f>IMABS(W169)</f>
        <v>35.266666666666602</v>
      </c>
      <c r="X166">
        <f>IMABS(X169)</f>
        <v>35.266666666666644</v>
      </c>
      <c r="Y166">
        <f>IMABS(Y169)</f>
        <v>35.266666666666644</v>
      </c>
      <c r="Z166" s="95" t="s">
        <v>293</v>
      </c>
      <c r="AA166">
        <f>IMABS(AA169)</f>
        <v>36.033333333333402</v>
      </c>
      <c r="AB166">
        <f>IMABS(AB169)</f>
        <v>36.033333333333289</v>
      </c>
      <c r="AC166">
        <f>IMABS(AC169)</f>
        <v>36.033333333333289</v>
      </c>
    </row>
    <row r="167" spans="1:29" ht="15" customHeight="1" x14ac:dyDescent="0.2">
      <c r="A167" s="1"/>
      <c r="B167" s="24" t="s">
        <v>266</v>
      </c>
      <c r="C167" s="1"/>
      <c r="D167" s="146">
        <f>IFERROR(D163*D165*COS(RADIANS(0-W167)),0)</f>
        <v>2760</v>
      </c>
      <c r="E167" s="146">
        <f>IFERROR(E163*E165*COS(RADIANS(-120-X167)),0)</f>
        <v>2760.0000000000018</v>
      </c>
      <c r="F167" s="146">
        <f>IFERROR(F163*F165*COS(RADIANS(120-Y167)),0)</f>
        <v>2760.0000000000018</v>
      </c>
      <c r="G167" s="146">
        <f>IFERROR(G163*G165*COS(RADIANS(0-AA167)),0)</f>
        <v>2300.0000000000041</v>
      </c>
      <c r="H167" s="146">
        <f>IFERROR(H163*H165*COS(RADIANS(-120-AB167)),0)</f>
        <v>2299.9999999999955</v>
      </c>
      <c r="I167" s="146">
        <f>IFERROR(I163*I165*COS(RADIANS(120-AC167)),0)</f>
        <v>2299.9999999999955</v>
      </c>
      <c r="J167" s="101" t="s">
        <v>267</v>
      </c>
      <c r="K167" s="105">
        <f>SUM(D167:F167)</f>
        <v>8280.0000000000036</v>
      </c>
      <c r="L167" s="108">
        <f>SUM(G167:I167)</f>
        <v>6899.9999999999955</v>
      </c>
      <c r="M167" s="633"/>
      <c r="N167" s="634"/>
      <c r="O167" s="635"/>
      <c r="P167" s="71"/>
      <c r="R167" t="s">
        <v>294</v>
      </c>
      <c r="S167" s="88">
        <f>O165</f>
        <v>5</v>
      </c>
      <c r="T167" t="s">
        <v>257</v>
      </c>
      <c r="V167" s="623"/>
      <c r="W167">
        <f>DEGREES(IMARGUMENT(W169))</f>
        <v>0</v>
      </c>
      <c r="X167">
        <f>DEGREES(IMARGUMENT(X169))</f>
        <v>-119.99999999999997</v>
      </c>
      <c r="Y167">
        <f>DEGREES(IMARGUMENT(Y169))</f>
        <v>119.99999999999997</v>
      </c>
      <c r="Z167" s="90" t="s">
        <v>296</v>
      </c>
      <c r="AA167">
        <f>DEGREES(IMARGUMENT(AA169))</f>
        <v>0</v>
      </c>
      <c r="AB167">
        <f>DEGREES(IMARGUMENT(AB169))</f>
        <v>-120.00000000000011</v>
      </c>
      <c r="AC167">
        <f>DEGREES(IMARGUMENT(AC169))</f>
        <v>120.00000000000011</v>
      </c>
    </row>
    <row r="168" spans="1:29" ht="8" customHeight="1" thickBot="1" x14ac:dyDescent="0.25">
      <c r="A168" s="1"/>
      <c r="B168" s="1"/>
      <c r="C168" s="1"/>
      <c r="D168" s="1"/>
      <c r="E168" s="1"/>
      <c r="F168" s="1"/>
      <c r="G168" s="1"/>
      <c r="H168" s="1"/>
      <c r="I168" s="1"/>
      <c r="J168" s="1"/>
      <c r="K168" s="1"/>
      <c r="L168" s="1"/>
      <c r="M168" s="1"/>
      <c r="N168" s="1"/>
      <c r="O168" s="1"/>
      <c r="P168" s="1"/>
      <c r="R168" t="s">
        <v>162</v>
      </c>
      <c r="S168">
        <f>IF(OR('US MDM-5000'!E165&gt;Data!$AF$6,'US MDM-5000'!G165&gt;Data!$AF$6,'US MDM-5000'!I165&gt;Data!$AF$6,'US MDM-5000'!D165&gt;Data!$AF$6,'US MDM-5000'!F165&gt;Data!$AF$6,'US MDM-5000'!H165&gt;Data!$AF$6),1,0)</f>
        <v>0</v>
      </c>
      <c r="T168">
        <f>IF(OR('US MDM-5000'!E165&gt;Data!$AG$6,'US MDM-5000'!G165&gt;Data!$AG$6,'US MDM-5000'!I165&gt;Data!$AG$6,'US MDM-5000'!D165&gt;Data!$AG$6,'US MDM-5000'!F165&gt;Data!$AG$6,'US MDM-5000'!H165&gt;Data!$AG$6),1,0)</f>
        <v>0</v>
      </c>
      <c r="V168" s="623"/>
      <c r="Z168" s="94"/>
    </row>
    <row r="169" spans="1:29" x14ac:dyDescent="0.2">
      <c r="A169" s="1"/>
      <c r="B169" s="10" t="s">
        <v>203</v>
      </c>
      <c r="C169" s="1"/>
      <c r="D169" s="560" t="s">
        <v>297</v>
      </c>
      <c r="E169" s="561"/>
      <c r="F169" s="553" t="s">
        <v>298</v>
      </c>
      <c r="G169" s="561"/>
      <c r="H169" s="553" t="s">
        <v>299</v>
      </c>
      <c r="I169" s="561"/>
      <c r="J169" s="553" t="s">
        <v>300</v>
      </c>
      <c r="K169" s="561"/>
      <c r="L169" s="553" t="s">
        <v>301</v>
      </c>
      <c r="M169" s="561"/>
      <c r="N169" s="553" t="s">
        <v>302</v>
      </c>
      <c r="O169" s="554"/>
      <c r="P169" s="1"/>
      <c r="R169" t="s">
        <v>201</v>
      </c>
      <c r="S169">
        <f>IF(OR('US MDM-5000'!D177&gt;Data!$AF$7,'US MDM-5000'!F177&gt;Data!$AF$7,'US MDM-5000'!H177&gt;Data!$AF$7,'US MDM-5000'!J177&gt;Data!$AF$7,'US MDM-5000'!L177&gt;Data!$AF$7,'US MDM-5000'!N177&gt;Data!$AF$7),1,0)</f>
        <v>0</v>
      </c>
      <c r="T169">
        <f>IF(OR('US MDM-5000'!D177&gt;Data!$AG$7,'US MDM-5000'!F177&gt;Data!$AG$7,'US MDM-5000'!H177&gt;Data!$AG$7,'US MDM-5000'!J177&gt;Data!$AG$7,'US MDM-5000'!L177&gt;Data!$AG$7,'US MDM-5000'!N177&gt;Data!$AG$7),1,0)</f>
        <v>0</v>
      </c>
      <c r="V169" s="623"/>
      <c r="W169" t="str">
        <f>IMSUM(Y173,W172)</f>
        <v>35.2666666666666</v>
      </c>
      <c r="X169" t="str">
        <f>IMSUM(X172,W173)</f>
        <v>-17.6333333333333-30.5418292401312i</v>
      </c>
      <c r="Y169" t="str">
        <f>IMSUM(X173,Y172)</f>
        <v>-17.6333333333333+30.5418292401312i</v>
      </c>
      <c r="Z169" s="94"/>
      <c r="AA169" t="str">
        <f>IMSUM(AA172,AC173)</f>
        <v>36.0333333333334</v>
      </c>
      <c r="AB169" t="str">
        <f>IMSUM(AB172,AA173)</f>
        <v>-18.0166666666667-31.2057820496992i</v>
      </c>
      <c r="AC169" t="str">
        <f>IMSUM(AC172,AB173)</f>
        <v>-18.0166666666667+31.2057820496992i</v>
      </c>
    </row>
    <row r="170" spans="1:29" x14ac:dyDescent="0.2">
      <c r="A170" s="1"/>
      <c r="B170" s="99" t="s">
        <v>303</v>
      </c>
      <c r="C170" s="1"/>
      <c r="D170" s="626" t="s">
        <v>304</v>
      </c>
      <c r="E170" s="624"/>
      <c r="F170" s="624" t="s">
        <v>304</v>
      </c>
      <c r="G170" s="624"/>
      <c r="H170" s="624" t="s">
        <v>304</v>
      </c>
      <c r="I170" s="624"/>
      <c r="J170" s="624" t="s">
        <v>304</v>
      </c>
      <c r="K170" s="624"/>
      <c r="L170" s="624" t="s">
        <v>304</v>
      </c>
      <c r="M170" s="624"/>
      <c r="N170" s="624" t="s">
        <v>304</v>
      </c>
      <c r="O170" s="624"/>
      <c r="P170" s="1"/>
      <c r="V170" s="94"/>
      <c r="Z170" s="90"/>
    </row>
    <row r="171" spans="1:29" x14ac:dyDescent="0.2">
      <c r="A171" s="1"/>
      <c r="B171" s="23" t="s">
        <v>205</v>
      </c>
      <c r="C171" s="1"/>
      <c r="D171" s="32" t="s">
        <v>236</v>
      </c>
      <c r="E171" s="33">
        <v>8</v>
      </c>
      <c r="F171" s="34" t="s">
        <v>236</v>
      </c>
      <c r="G171" s="33">
        <v>8</v>
      </c>
      <c r="H171" s="34" t="s">
        <v>236</v>
      </c>
      <c r="I171" s="33">
        <v>8</v>
      </c>
      <c r="J171" s="34" t="s">
        <v>237</v>
      </c>
      <c r="K171" s="33">
        <v>4</v>
      </c>
      <c r="L171" s="34" t="s">
        <v>237</v>
      </c>
      <c r="M171" s="33">
        <v>4</v>
      </c>
      <c r="N171" s="34" t="s">
        <v>237</v>
      </c>
      <c r="O171" s="35">
        <v>4</v>
      </c>
      <c r="P171" s="1"/>
      <c r="R171" t="s">
        <v>202</v>
      </c>
      <c r="S171">
        <f>IF(OR('US MDM-5000'!D179&gt;Data!$AF$8,'US MDM-5000'!F179&gt;Data!$AF$8,'US MDM-5000'!H179&gt;Data!$AF$8,'US MDM-5000'!J179&gt;Data!$AF$8,'US MDM-5000'!L179&gt;Data!$AF$8,'US MDM-5000'!N179&gt;Data!$AF$8),1,0)</f>
        <v>0</v>
      </c>
      <c r="V171" s="625" t="s">
        <v>305</v>
      </c>
      <c r="W171" t="str">
        <f>IMSUM(Y182,W181)</f>
        <v>23</v>
      </c>
      <c r="X171" t="str">
        <f>IMSUM(X181,W182)</f>
        <v>-11.5-19.9185842870421i</v>
      </c>
      <c r="Y171" t="str">
        <f>IMSUM(X182,Y181)</f>
        <v>-11.5+19.9185842870421i</v>
      </c>
      <c r="Z171" s="94"/>
      <c r="AA171" t="str">
        <f>IMSUM(AA181,AC182)</f>
        <v>19.1666666666667</v>
      </c>
      <c r="AB171" t="str">
        <f>IMSUM(AB181,AA182)</f>
        <v>-9.58333333333333-16.5988202392017i</v>
      </c>
      <c r="AC171" t="str">
        <f>IMSUM(AC181,AB182)</f>
        <v>-9.58333333333333+16.5988202392017i</v>
      </c>
    </row>
    <row r="172" spans="1:29" x14ac:dyDescent="0.2">
      <c r="A172" s="1"/>
      <c r="B172" s="23" t="s">
        <v>205</v>
      </c>
      <c r="C172" s="1"/>
      <c r="D172" s="36" t="s">
        <v>127</v>
      </c>
      <c r="E172" s="33">
        <v>0</v>
      </c>
      <c r="F172" s="37" t="s">
        <v>127</v>
      </c>
      <c r="G172" s="33">
        <v>0</v>
      </c>
      <c r="H172" s="37" t="s">
        <v>127</v>
      </c>
      <c r="I172" s="33">
        <v>0</v>
      </c>
      <c r="J172" s="37" t="s">
        <v>127</v>
      </c>
      <c r="K172" s="33">
        <v>0</v>
      </c>
      <c r="L172" s="37" t="s">
        <v>127</v>
      </c>
      <c r="M172" s="33">
        <v>0</v>
      </c>
      <c r="N172" s="37" t="s">
        <v>127</v>
      </c>
      <c r="O172" s="35">
        <v>0</v>
      </c>
      <c r="P172" s="1"/>
      <c r="R172" t="s">
        <v>204</v>
      </c>
      <c r="S172">
        <f>IF(OR('US MDM-5000'!D185&gt;Data!$AF$13,'US MDM-5000'!F185&gt;Data!$AF$13,'US MDM-5000'!H185&gt;Data!$AF$13,'US MDM-5000'!J185&gt;Data!$AF$13,'US MDM-5000'!L185&gt;Data!$AF$13,'US MDM-5000'!N185&gt;Data!$AF$13),1,0)</f>
        <v>0</v>
      </c>
      <c r="V172" s="625"/>
      <c r="W172" t="str">
        <f>IF(D170="On",COMPLEX((D178*COS(RADIANS(30))),(D178*SIN(RADIANS(30)))),COMPLEX((0*COS(RADIANS(30))),(0*SIN(RADIANS(30)))))</f>
        <v>17.6333333333333+10.1806097467104i</v>
      </c>
      <c r="X172" t="str">
        <f>IF(F170="On",COMPLEX((F178*COS(RADIANS(-90))),(F178*SIN(RADIANS(-90)))),COMPLEX((0*COS(RADIANS(-90))),(0*SIN(RADIANS(-90)))))</f>
        <v>1.24727583012099E-15-20.3612194934208i</v>
      </c>
      <c r="Y172" t="str">
        <f>IF(H170="On",COMPLEX((H178*COS(RADIANS(150))),(H178*SIN(RADIANS(150)))),COMPLEX((0*COS(RADIANS(150))),(0*SIN(RADIANS(150)))))</f>
        <v>-17.6333333333333+10.1806097467104i</v>
      </c>
      <c r="Z172" s="94" t="s">
        <v>306</v>
      </c>
      <c r="AA172" t="str">
        <f>IF(J170="On",COMPLEX(J178*COS(RADIANS(30)),J178*SIN(RADIANS(30))),COMPLEX(0*COS(RADIANS(30)),0*SIN(RADIANS(30))))</f>
        <v>18.0166666666667+10.4019273498997i</v>
      </c>
      <c r="AB172" t="str">
        <f>IF(L170="On",COMPLEX(L178*COS(RADIANS(-90)),L178*SIN(RADIANS(-90))),COMPLEX(0*COS(RADIANS(-90)),0*SIN(RADIANS(-90))))</f>
        <v>1.27439052208014E-15-20.8038546997995i</v>
      </c>
      <c r="AC172" t="str">
        <f>IF(N170="On",COMPLEX(N178*COS(RADIANS(150)),N178*SIN(RADIANS(150))),COMPLEX(0*COS(RADIANS(150)),0*SIN(RADIANS(150))))</f>
        <v>-18.0166666666667+10.4019273498997i</v>
      </c>
    </row>
    <row r="173" spans="1:29" x14ac:dyDescent="0.2">
      <c r="A173" s="1"/>
      <c r="B173" s="23" t="s">
        <v>121</v>
      </c>
      <c r="C173" s="1"/>
      <c r="D173" s="38">
        <v>100</v>
      </c>
      <c r="E173" s="29" t="s">
        <v>307</v>
      </c>
      <c r="F173" s="39">
        <v>100</v>
      </c>
      <c r="G173" s="29" t="s">
        <v>307</v>
      </c>
      <c r="H173" s="39">
        <v>100</v>
      </c>
      <c r="I173" s="29" t="s">
        <v>307</v>
      </c>
      <c r="J173" s="39">
        <v>100</v>
      </c>
      <c r="K173" s="29" t="s">
        <v>307</v>
      </c>
      <c r="L173" s="39">
        <v>100</v>
      </c>
      <c r="M173" s="29" t="s">
        <v>307</v>
      </c>
      <c r="N173" s="39">
        <v>100</v>
      </c>
      <c r="O173" s="28" t="s">
        <v>307</v>
      </c>
      <c r="P173" s="1"/>
      <c r="W173" t="str">
        <f>IF(D170="On",COMPLEX(-(D178*COS(RADIANS(30))),-(D178*SIN(RADIANS(30)))),COMPLEX(-(0*COS(RADIANS(30))),-(0*SIN(RADIANS(30)))))</f>
        <v>-17.6333333333333-10.1806097467104i</v>
      </c>
      <c r="X173" t="str">
        <f>IF(F170="On",COMPLEX(-(F178*COS(RADIANS(-90))),-(F178*SIN(RADIANS(-90)))),COMPLEX(-(0*COS(RADIANS(-90))),-(0*SIN(RADIANS(-90)))))</f>
        <v>-1.24727583012099E-15+20.3612194934208i</v>
      </c>
      <c r="Y173" t="str">
        <f>IF(H170="On",COMPLEX(-(H178*COS(RADIANS(150))),-(H178*SIN(RADIANS(150)))),COMPLEX(-(0*COS(RADIANS(150))),-(0*SIN(RADIANS(150)))))</f>
        <v>17.6333333333333-10.1806097467104i</v>
      </c>
      <c r="Z173" s="96" t="s">
        <v>308</v>
      </c>
      <c r="AA173" t="str">
        <f>IF(J170="On",COMPLEX(-(J178*COS(RADIANS(30))),-(J178*SIN(RADIANS(30)))),COMPLEX(-(0*COS(RADIANS(30))),-(0*SIN(RADIANS(30)))))</f>
        <v>-18.0166666666667-10.4019273498997i</v>
      </c>
      <c r="AB173" t="str">
        <f>IF(L170="On",COMPLEX(-(L178*COS(RADIANS(-90))),-(L178*SIN(RADIANS(-90)))),COMPLEX(-(0*COS(RADIANS(-90))),-(0*SIN(RADIANS(-90)))))</f>
        <v>-1.27439052208014E-15+20.8038546997995i</v>
      </c>
      <c r="AC173" t="str">
        <f>IF(N170="On",COMPLEX(-(N178*COS(RADIANS(150))),-(N178*SIN(RADIANS(150)))),COMPLEX(-(0*COS(RADIANS(150))),-(0*SIN(RADIANS(150)))))</f>
        <v>18.0166666666667-10.4019273498997i</v>
      </c>
    </row>
    <row r="174" spans="1:29" ht="11" customHeight="1" x14ac:dyDescent="0.2">
      <c r="A174" s="1"/>
      <c r="B174" s="2"/>
      <c r="C174" s="1"/>
      <c r="D174" s="555" t="s">
        <v>210</v>
      </c>
      <c r="E174" s="556"/>
      <c r="F174" s="556"/>
      <c r="G174" s="556"/>
      <c r="H174" s="556"/>
      <c r="I174" s="556"/>
      <c r="J174" s="557" t="s">
        <v>210</v>
      </c>
      <c r="K174" s="556"/>
      <c r="L174" s="556"/>
      <c r="M174" s="556"/>
      <c r="N174" s="556"/>
      <c r="O174" s="558"/>
      <c r="P174" s="1"/>
      <c r="R174" t="s">
        <v>208</v>
      </c>
      <c r="S174">
        <f>SUM(S168:S172)</f>
        <v>0</v>
      </c>
      <c r="T174">
        <f>SUM(T168:T169)</f>
        <v>0</v>
      </c>
      <c r="U174">
        <f>SUM(S174:T174)</f>
        <v>0</v>
      </c>
      <c r="Z174" s="94"/>
    </row>
    <row r="175" spans="1:29" ht="6" customHeight="1" x14ac:dyDescent="0.2">
      <c r="A175" s="1"/>
      <c r="B175" s="2"/>
      <c r="C175" s="1"/>
      <c r="D175" s="3"/>
      <c r="E175" s="4"/>
      <c r="F175" s="5"/>
      <c r="G175" s="4"/>
      <c r="H175" s="5"/>
      <c r="I175" s="4"/>
      <c r="J175" s="5"/>
      <c r="K175" s="4"/>
      <c r="L175" s="5"/>
      <c r="M175" s="4"/>
      <c r="N175" s="5"/>
      <c r="O175" s="6"/>
      <c r="P175" s="1"/>
      <c r="Z175" s="94"/>
    </row>
    <row r="176" spans="1:29" ht="20" customHeight="1" x14ac:dyDescent="0.2">
      <c r="A176" s="1"/>
      <c r="B176" s="23" t="s">
        <v>271</v>
      </c>
      <c r="C176" s="1"/>
      <c r="D176" s="19">
        <f>W176</f>
        <v>207.84609690826545</v>
      </c>
      <c r="E176" s="29" t="s">
        <v>309</v>
      </c>
      <c r="F176" s="20">
        <f>X176</f>
        <v>207.846096908265</v>
      </c>
      <c r="G176" s="29" t="s">
        <v>309</v>
      </c>
      <c r="H176" s="20">
        <f>Y176</f>
        <v>207.84609690826545</v>
      </c>
      <c r="I176" s="29" t="s">
        <v>309</v>
      </c>
      <c r="J176" s="20">
        <f>AA176</f>
        <v>207.84609690826545</v>
      </c>
      <c r="K176" s="29" t="s">
        <v>309</v>
      </c>
      <c r="L176" s="20">
        <f>AB176</f>
        <v>207.846096908265</v>
      </c>
      <c r="M176" s="29" t="s">
        <v>309</v>
      </c>
      <c r="N176" s="20">
        <f>AC176</f>
        <v>207.84609690826545</v>
      </c>
      <c r="O176" s="28" t="s">
        <v>309</v>
      </c>
      <c r="P176" s="1"/>
      <c r="V176" s="623" t="s">
        <v>104</v>
      </c>
      <c r="W176">
        <f>IMABS(W178)</f>
        <v>207.84609690826545</v>
      </c>
      <c r="X176">
        <f>IMABS(X178)</f>
        <v>207.846096908265</v>
      </c>
      <c r="Y176">
        <f>IMABS(Y178)</f>
        <v>207.84609690826545</v>
      </c>
      <c r="Z176" s="90" t="s">
        <v>293</v>
      </c>
      <c r="AA176">
        <f>IMABS(AA178)</f>
        <v>207.84609690826545</v>
      </c>
      <c r="AB176">
        <f>IMABS(AB178)</f>
        <v>207.846096908265</v>
      </c>
      <c r="AC176">
        <f>IMABS(AC178)</f>
        <v>207.84609690826545</v>
      </c>
    </row>
    <row r="177" spans="1:30" x14ac:dyDescent="0.2">
      <c r="A177" s="1"/>
      <c r="B177" s="23" t="s">
        <v>211</v>
      </c>
      <c r="C177" s="1"/>
      <c r="D177" s="12">
        <f>IF(D170="On",(((VLOOKUP($D171,Data!$R$4:$U$62,2,FALSE)*$E171)+(VLOOKUP($D172,Data!$R$4:$U$62,2,FALSE)*$E172))/$D176)*Data!$R$3,0)</f>
        <v>13.279056191361381</v>
      </c>
      <c r="E177" s="13" t="str">
        <f>IF(D177&gt;Data!$AF$7,"&lt;OVER",IF(D177&gt;Data!$AG$7,"&lt;Not UL","A RMS"))</f>
        <v>A RMS</v>
      </c>
      <c r="F177" s="14">
        <f>IF(F170="On",(((VLOOKUP($F171,Data!$R$4:$U$62,2,FALSE)*$G171)+(VLOOKUP($F172,Data!$R$4:$U$62,2,FALSE)*$G172))/$F176)*Data!$R$3,0)</f>
        <v>13.279056191361409</v>
      </c>
      <c r="G177" s="13" t="str">
        <f>IF(F177&gt;Data!$AF$7,"&lt;OVER",IF(F177&gt;Data!$AG$7,"&lt;Not UL","A RMS"))</f>
        <v>A RMS</v>
      </c>
      <c r="H177" s="14">
        <f>IF(H170="On",(((VLOOKUP($H171,Data!$R$4:$U$62,2,FALSE)*$I171)+(VLOOKUP($H172,Data!$R$4:$U$62,2,FALSE)*$I172))/H176)*Data!$R$3,0)</f>
        <v>13.279056191361381</v>
      </c>
      <c r="I177" s="13" t="str">
        <f>IF(H177&gt;Data!$AF$7,"&lt;OVER",IF(H177&gt;Data!$AG$7,"&lt;Not UL","A RMS"))</f>
        <v>A RMS</v>
      </c>
      <c r="J177" s="14">
        <f>IF(J170="On",(((VLOOKUP($J171,Data!$R$4:$U$62,2,FALSE)*$K171)+(VLOOKUP($J172,Data!$R$4:$U$62,2,FALSE)*$K172))/$J176)*Data!$R$3,0)</f>
        <v>11.065880159467818</v>
      </c>
      <c r="K177" s="13" t="str">
        <f>IF(J177&gt;Data!$AF$7,"&lt;OVER",IF(J177&gt;Data!$AG$7,"&lt;Not UL","A RMS"))</f>
        <v>A RMS</v>
      </c>
      <c r="L177" s="14">
        <f>IF(L170="On",(((VLOOKUP($L171,Data!$R$4:$U$62,2,FALSE)*$M171)+(VLOOKUP($L172,Data!$R$4:$U$62,2,FALSE)*$M172))/$L176)*Data!$R$3,0)</f>
        <v>11.065880159467842</v>
      </c>
      <c r="M177" s="13" t="str">
        <f>IF(L177&gt;Data!$AF$7,"&lt;OVER",IF(L177&gt;Data!$AG$7,"&lt;Not UL","A RMS"))</f>
        <v>A RMS</v>
      </c>
      <c r="N177" s="14">
        <f>IF(N170="On",(((VLOOKUP($N171,Data!$R$4:$U$62,2,FALSE)*$O171)+(VLOOKUP($N172,Data!$R$4:$U$62,2,FALSE)*$O172))/$N176)*Data!$R$3,0)</f>
        <v>11.065880159467818</v>
      </c>
      <c r="O177" s="15" t="str">
        <f>IF(N177&gt;Data!$AF$7,"&lt;OVER",IF(N177&gt;Data!$AG$7,"&lt;Not UL","A RMS"))</f>
        <v>A RMS</v>
      </c>
      <c r="P177" s="1"/>
      <c r="V177" s="623"/>
      <c r="W177">
        <f>DEGREES(IMARGUMENT(W178))</f>
        <v>30.000000000000085</v>
      </c>
      <c r="X177">
        <f>DEGREES(IMARGUMENT(X178))</f>
        <v>-90</v>
      </c>
      <c r="Y177">
        <f>DEGREES(IMARGUMENT(Y178))</f>
        <v>149.99999999999991</v>
      </c>
      <c r="Z177" s="90" t="s">
        <v>296</v>
      </c>
      <c r="AA177">
        <f>DEGREES(IMARGUMENT(AA178))</f>
        <v>30.000000000000085</v>
      </c>
      <c r="AB177">
        <f>DEGREES(IMARGUMENT(AB178))</f>
        <v>-90</v>
      </c>
      <c r="AC177">
        <f>DEGREES(IMARGUMENT(AC178))</f>
        <v>149.99999999999991</v>
      </c>
    </row>
    <row r="178" spans="1:30" x14ac:dyDescent="0.2">
      <c r="A178" s="1"/>
      <c r="B178" s="23" t="s">
        <v>199</v>
      </c>
      <c r="C178" s="1"/>
      <c r="D178" s="12">
        <f>IF(D170="On",(((VLOOKUP($D171,Data!$R$4:$U$62,3,FALSE)*$E171)+(VLOOKUP($D172,Data!$R$4:$U$62,3,FALSE)*$E172))/$D176)*Data!$R$3,0)</f>
        <v>20.361219493420784</v>
      </c>
      <c r="E178" s="13" t="s">
        <v>116</v>
      </c>
      <c r="F178" s="14">
        <f>IF(F170="On",(((VLOOKUP($F171,Data!$R$4:$U$62,3,FALSE)*$G171)+(VLOOKUP($F172,Data!$R$4:$U$62,3,FALSE)*$G172))/$F176)*Data!$R$3,0)</f>
        <v>20.36121949342083</v>
      </c>
      <c r="G178" s="13" t="s">
        <v>116</v>
      </c>
      <c r="H178" s="14">
        <f>IF(H170="On",(((VLOOKUP($H171,Data!$R$4:$U$62,3,FALSE)*$I171)+(VLOOKUP($H172,Data!$R$4:$U$62,3,FALSE)*$I172))/$H176)*Data!$R$3,0)</f>
        <v>20.361219493420784</v>
      </c>
      <c r="I178" s="13" t="s">
        <v>116</v>
      </c>
      <c r="J178" s="14">
        <f>IF(J170="On",(((VLOOKUP($J171,Data!$R$4:$U$62,3,FALSE)*$K171)+(VLOOKUP($J172,Data!$R$4:$U$62,3,FALSE)*$K172))/$J176)*Data!$R$3,0)</f>
        <v>20.803854699799498</v>
      </c>
      <c r="K178" s="13" t="s">
        <v>116</v>
      </c>
      <c r="L178" s="14">
        <f>IF(L170="On",(((VLOOKUP($L171,Data!$R$4:$U$62,3,FALSE)*$M171)+(VLOOKUP($L172,Data!$R$4:$U$62,3,FALSE)*$M172))/$L176)*Data!$R$3,0)</f>
        <v>20.803854699799544</v>
      </c>
      <c r="M178" s="13" t="s">
        <v>116</v>
      </c>
      <c r="N178" s="14">
        <f>IF(N170="On",(((VLOOKUP($N171,Data!$R$4:$U$62,3,FALSE)*$O171)+(VLOOKUP($N172,Data!$R$4:$U$62,3,FALSE)*$O172))/$N176)*Data!$R$3,0)</f>
        <v>20.803854699799498</v>
      </c>
      <c r="O178" s="15" t="s">
        <v>116</v>
      </c>
      <c r="P178" s="1"/>
      <c r="V178" s="623"/>
      <c r="W178" t="str">
        <f>COMPLEX((W162-X162),(W163-X163))</f>
        <v>180+103.923048454133i</v>
      </c>
      <c r="X178" t="str">
        <f>COMPLEX(X162-Y162,X163-Y163)</f>
        <v>-207.846096908265i</v>
      </c>
      <c r="Y178" t="str">
        <f>COMPLEX(Y162-W162,Y163-W163)</f>
        <v>-180+103.923048454133i</v>
      </c>
      <c r="Z178" s="94" t="s">
        <v>306</v>
      </c>
      <c r="AA178" t="str">
        <f>COMPLEX(AA162-AB162,AA163-AB163)</f>
        <v>180+103.923048454133i</v>
      </c>
      <c r="AB178" t="str">
        <f>COMPLEX(AB162-AC162,AB163-AC163)</f>
        <v>-207.846096908265i</v>
      </c>
      <c r="AC178" t="str">
        <f>COMPLEX(AC162-AA162,AC163-AA163)</f>
        <v>-180+103.923048454133i</v>
      </c>
    </row>
    <row r="179" spans="1:30" x14ac:dyDescent="0.2">
      <c r="A179" s="1"/>
      <c r="B179" s="23" t="s">
        <v>200</v>
      </c>
      <c r="C179" s="1"/>
      <c r="D179" s="12">
        <f>IF(D170="On",(((VLOOKUP($D171,Data!$R$4:$U$62,4,FALSE)*$E171)+(VLOOKUP($D172,Data!$R$4:$U$62,4,FALSE)*$E172))/$D176)*Data!$R$3,0)</f>
        <v>55.772036003717801</v>
      </c>
      <c r="E179" s="13" t="str">
        <f>IF(D179&gt;Data!$AF$8,"&lt;OVER!","A Pk")</f>
        <v>A Pk</v>
      </c>
      <c r="F179" s="14">
        <f>IF(F170="On",(((VLOOKUP($F171,Data!$R$4:$U$62,4,FALSE)*$G171)+(VLOOKUP($F172,Data!$R$4:$U$62,4,FALSE)*$G172))/$F176)*Data!$R$3,0)</f>
        <v>55.772036003717922</v>
      </c>
      <c r="G179" s="13" t="str">
        <f>IF(F179&gt;Data!$AF$8,"&lt;OVER!","A Pk")</f>
        <v>A Pk</v>
      </c>
      <c r="H179" s="14">
        <f>IF(H170="On",(((VLOOKUP($H171,Data!$R$4:$U$62,4,FALSE)*$I171)+(VLOOKUP($H172,Data!$R$4:$U$62,4,FALSE)*$I172))/$H176)*Data!$R$3,)</f>
        <v>55.772036003717801</v>
      </c>
      <c r="I179" s="13" t="str">
        <f>IF(H179&gt;Data!$AF$8,"&lt;OVER!","A Pk")</f>
        <v>A Pk</v>
      </c>
      <c r="J179" s="14">
        <f>IF(J170="On",(((VLOOKUP($J171,Data!$R$4:$U$62,4,FALSE)*$K171)+(VLOOKUP($J172,Data!$R$4:$U$62,4,FALSE)*$K172))/$J176)*Data!$R$3,0)</f>
        <v>40.722438986841567</v>
      </c>
      <c r="K179" s="13" t="str">
        <f>IF(J179&gt;Data!$AF$8,"&lt;OVER!","A Pk")</f>
        <v>A Pk</v>
      </c>
      <c r="L179" s="14">
        <f>IF(L170="On",(((VLOOKUP($L171,Data!$R$4:$U$62,4,FALSE)*$M171)+(VLOOKUP($L172,Data!$R$4:$U$62,4,FALSE)*$M172))/$L176)*Data!$R$3,0)</f>
        <v>40.722438986841659</v>
      </c>
      <c r="M179" s="13" t="str">
        <f>IF(L179&gt;Data!$AF$8,"&lt;OVER!","A Pk")</f>
        <v>A Pk</v>
      </c>
      <c r="N179" s="14">
        <f>IF(N170="On",(((VLOOKUP($N171,Data!$R$4:$U$62,4,FALSE)*$O171)+(VLOOKUP($N172,Data!$R$4:$U$62,4,FALSE)*$O172))/$N176)*Data!$R$3,0)</f>
        <v>40.722438986841567</v>
      </c>
      <c r="O179" s="15" t="str">
        <f>IF(N179&gt;Data!$AF$8,"&lt;OVER!","A Pk")</f>
        <v>A Pk</v>
      </c>
      <c r="P179" s="1"/>
      <c r="V179" s="623" t="s">
        <v>310</v>
      </c>
      <c r="W179" s="93"/>
      <c r="X179" s="93"/>
      <c r="Y179" s="93"/>
      <c r="Z179" s="94"/>
      <c r="AA179" s="93"/>
      <c r="AB179" s="93"/>
      <c r="AC179" s="93"/>
    </row>
    <row r="180" spans="1:30" ht="6" customHeight="1" x14ac:dyDescent="0.2">
      <c r="A180" s="1"/>
      <c r="B180" s="23"/>
      <c r="C180" s="1"/>
      <c r="D180" s="12"/>
      <c r="E180" s="16"/>
      <c r="F180" s="14"/>
      <c r="G180" s="16"/>
      <c r="H180" s="14"/>
      <c r="I180" s="16"/>
      <c r="J180" s="14"/>
      <c r="K180" s="16"/>
      <c r="L180" s="14"/>
      <c r="M180" s="16"/>
      <c r="N180" s="14"/>
      <c r="O180" s="15"/>
      <c r="P180" s="1"/>
      <c r="V180" s="623"/>
      <c r="Z180" s="94"/>
    </row>
    <row r="181" spans="1:30" x14ac:dyDescent="0.2">
      <c r="A181" s="1"/>
      <c r="B181" s="23" t="s">
        <v>212</v>
      </c>
      <c r="C181" s="1"/>
      <c r="D181" s="17">
        <f>(17*(10^-8))*(((2*D173)/3.280839895)/(((PI()/4)*((0.127*(92^((36-O162)/39)))^2))*(10^-5)))</f>
        <v>0.31320372803044888</v>
      </c>
      <c r="E181" s="16" t="s">
        <v>213</v>
      </c>
      <c r="F181" s="18">
        <f>(17*(10^-8))*(((2*F173)/3.280839895)/(((PI()/4)*((0.127*(92^((36-O162)/39)))^2))*(10^-5)))</f>
        <v>0.31320372803044888</v>
      </c>
      <c r="G181" s="16" t="s">
        <v>213</v>
      </c>
      <c r="H181" s="18">
        <f>(17*(10^-8))*(((2*H173)/3.280839895)/(((PI()/4)*((0.127*(92^((36-O162)/39)))^2))*(10^-5)))</f>
        <v>0.31320372803044888</v>
      </c>
      <c r="I181" s="16" t="s">
        <v>213</v>
      </c>
      <c r="J181" s="18">
        <f>(17*(10^-8))*(((2*J173)/3.280839895)/(((PI()/4)*((0.127*(92^((36-O162)/39)))^2))*(10^-5)))</f>
        <v>0.31320372803044888</v>
      </c>
      <c r="K181" s="16" t="s">
        <v>213</v>
      </c>
      <c r="L181" s="18">
        <f>(17*(10^-8))*(((2*L173)/3.280839895)/(((PI()/4)*((0.127*(92^((36-O162)/39)))^2))*(10^-5)))</f>
        <v>0.31320372803044888</v>
      </c>
      <c r="M181" s="16" t="s">
        <v>213</v>
      </c>
      <c r="N181" s="18">
        <f>(17*(10^-8))*(((2*N173)/3.280839895)/(((PI()/4)*((0.127*(92^((36-O162)/39)))^2))*(10^-5)))</f>
        <v>0.31320372803044888</v>
      </c>
      <c r="O181" s="15" t="s">
        <v>213</v>
      </c>
      <c r="P181" s="1"/>
      <c r="V181" s="623"/>
      <c r="W181" t="str">
        <f>IF(D170="On",COMPLEX((D177*COS(RADIANS(30))),(D177*SIN(RADIANS(30)))),COMPLEX((0*COS(RADIANS(30))),(0*SIN(RADIANS(30)))))</f>
        <v>11.5+6.63952809568069i</v>
      </c>
      <c r="X181" t="str">
        <f>IF(F170="On",COMPLEX((F177*COS(RADIANS(-90))),(F177*SIN(RADIANS(-90)))),COMPLEX((0*COS(RADIANS(-90))),(0*SIN(RADIANS(-90)))))</f>
        <v>8.13440758774559E-16-13.2790561913614i</v>
      </c>
      <c r="Y181" t="str">
        <f>IF(H170="On",COMPLEX((H177*COS(RADIANS(150))),(H177*SIN(RADIANS(150)))),COMPLEX((0*COS(RADIANS(150))),(0*SIN(RADIANS(150)))))</f>
        <v>-11.5+6.63952809568069i</v>
      </c>
      <c r="Z181" s="94" t="s">
        <v>306</v>
      </c>
      <c r="AA181" t="str">
        <f>IF(J170="On",COMPLEX(J177*COS(RADIANS(30)),J177*SIN(RADIANS(30))),COMPLEX(0*COS(RADIANS(30)),0*SIN(RADIANS(30))))</f>
        <v>9.58333333333333+5.53294007973391i</v>
      </c>
      <c r="AB181" t="str">
        <f>IF(L170="On",COMPLEX(L177*COS(RADIANS(-90)),L177*SIN(RADIANS(-90))),COMPLEX(0*COS(RADIANS(-90)),0*SIN(RADIANS(-90))))</f>
        <v>6.77867298978799E-16-11.0658801594678i</v>
      </c>
      <c r="AC181" t="str">
        <f>IF(N170="On",COMPLEX(N177*COS(RADIANS(150)),N177*SIN(RADIANS(150))),COMPLEX(0*COS(RADIANS(150)),0*SIN(RADIANS(150))))</f>
        <v>-9.58333333333333+5.53294007973391i</v>
      </c>
    </row>
    <row r="182" spans="1:30" x14ac:dyDescent="0.2">
      <c r="A182" s="1"/>
      <c r="B182" s="23" t="s">
        <v>214</v>
      </c>
      <c r="C182" s="1"/>
      <c r="D182" s="19">
        <f>D176*SQRT(2)</f>
        <v>293.93876913398162</v>
      </c>
      <c r="E182" s="16" t="s">
        <v>215</v>
      </c>
      <c r="F182" s="20">
        <f>F176*SQRT(2)</f>
        <v>293.938769133981</v>
      </c>
      <c r="G182" s="16" t="s">
        <v>215</v>
      </c>
      <c r="H182" s="20">
        <f>H176*SQRT(2)</f>
        <v>293.93876913398162</v>
      </c>
      <c r="I182" s="16" t="s">
        <v>215</v>
      </c>
      <c r="J182" s="20">
        <f>J176*SQRT(2)</f>
        <v>293.93876913398162</v>
      </c>
      <c r="K182" s="16" t="s">
        <v>215</v>
      </c>
      <c r="L182" s="20">
        <f>L176*SQRT(2)</f>
        <v>293.938769133981</v>
      </c>
      <c r="M182" s="16" t="s">
        <v>215</v>
      </c>
      <c r="N182" s="20">
        <f>N176*SQRT(2)</f>
        <v>293.93876913398162</v>
      </c>
      <c r="O182" s="15" t="s">
        <v>215</v>
      </c>
      <c r="P182" s="1"/>
      <c r="V182" s="623"/>
      <c r="W182" t="str">
        <f>IF(D170="On",COMPLEX(-(D177*COS(RADIANS(30))),-(D177*SIN(RADIANS(30)))),COMPLEX(-(0*COS(RADIANS(30))),-(0*SIN(RADIANS(30)))))</f>
        <v>-11.5-6.63952809568069i</v>
      </c>
      <c r="X182" t="str">
        <f>IF(F170="On",COMPLEX(-(F177*COS(RADIANS(-90))),-(F177*SIN(RADIANS(-90)))),COMPLEX(-(0*COS(RADIANS(-90))),-(0*SIN(RADIANS(-90)))))</f>
        <v>-8.13440758774559E-16+13.2790561913614i</v>
      </c>
      <c r="Y182" t="str">
        <f>IF(H170="On",COMPLEX(-(H177*COS(RADIANS(150))),-(H177*SIN(RADIANS(150)))),COMPLEX(-(0*COS(RADIANS(150))),-(0*SIN(RADIANS(150)))))</f>
        <v>11.5-6.63952809568069i</v>
      </c>
      <c r="Z182" s="96" t="s">
        <v>308</v>
      </c>
      <c r="AA182" t="str">
        <f>IF(J170="On",COMPLEX(-(J177*COS(RADIANS(30))),-(J177*SIN(RADIANS(30)))),COMPLEX(-(0*COS(RADIANS(30))),-(0*SIN(RADIANS(30)))))</f>
        <v>-9.58333333333333-5.53294007973391i</v>
      </c>
      <c r="AB182" t="str">
        <f>IF(L170="On",COMPLEX(-(L177*COS(RADIANS(-90))),-(L177*SIN(RADIANS(-90)))),COMPLEX(-(0*COS(RADIANS(-90))),-(0*SIN(RADIANS(-90)))))</f>
        <v>-6.77867298978799E-16+11.0658801594678i</v>
      </c>
      <c r="AC182" t="str">
        <f>IF(N170="On",COMPLEX(-(N177*COS(RADIANS(150))),-(N177*SIN(RADIANS(150)))),COMPLEX(-(0*COS(RADIANS(150))),-(0*SIN(RADIANS(150)))))</f>
        <v>9.58333333333333-5.53294007973391i</v>
      </c>
    </row>
    <row r="183" spans="1:30" x14ac:dyDescent="0.2">
      <c r="A183" s="1"/>
      <c r="B183" s="23" t="s">
        <v>223</v>
      </c>
      <c r="C183" s="1"/>
      <c r="D183" s="12">
        <f>D179*D181</f>
        <v>17.468009596212834</v>
      </c>
      <c r="E183" s="16" t="s">
        <v>215</v>
      </c>
      <c r="F183" s="14">
        <f>F179*F181</f>
        <v>17.46800959621287</v>
      </c>
      <c r="G183" s="16" t="s">
        <v>215</v>
      </c>
      <c r="H183" s="14">
        <f>H179*H181</f>
        <v>17.468009596212834</v>
      </c>
      <c r="I183" s="16" t="s">
        <v>215</v>
      </c>
      <c r="J183" s="14">
        <f>J179*J181</f>
        <v>12.754419705171275</v>
      </c>
      <c r="K183" s="16" t="s">
        <v>215</v>
      </c>
      <c r="L183" s="14">
        <f>L179*L181</f>
        <v>12.754419705171303</v>
      </c>
      <c r="M183" s="16" t="s">
        <v>215</v>
      </c>
      <c r="N183" s="14">
        <f>N179*N181</f>
        <v>12.754419705171275</v>
      </c>
      <c r="O183" s="15" t="s">
        <v>215</v>
      </c>
      <c r="P183" s="1"/>
      <c r="V183" s="623"/>
      <c r="Z183" s="90" t="s">
        <v>305</v>
      </c>
    </row>
    <row r="184" spans="1:30" x14ac:dyDescent="0.2">
      <c r="A184" s="1"/>
      <c r="B184" s="23" t="s">
        <v>225</v>
      </c>
      <c r="C184" s="1"/>
      <c r="D184" s="19">
        <f>D182-D183</f>
        <v>276.4707595377688</v>
      </c>
      <c r="E184" s="16" t="s">
        <v>215</v>
      </c>
      <c r="F184" s="20">
        <f>F182-F183</f>
        <v>276.47075953776812</v>
      </c>
      <c r="G184" s="16" t="s">
        <v>215</v>
      </c>
      <c r="H184" s="20">
        <f>H182-H183</f>
        <v>276.4707595377688</v>
      </c>
      <c r="I184" s="16" t="s">
        <v>215</v>
      </c>
      <c r="J184" s="20">
        <f>J182-J183</f>
        <v>281.18434942881032</v>
      </c>
      <c r="K184" s="16" t="s">
        <v>215</v>
      </c>
      <c r="L184" s="20">
        <f>L182-L183</f>
        <v>281.1843494288097</v>
      </c>
      <c r="M184" s="16" t="s">
        <v>215</v>
      </c>
      <c r="N184" s="20">
        <f>N182-N183</f>
        <v>281.18434942881032</v>
      </c>
      <c r="O184" s="15" t="s">
        <v>215</v>
      </c>
      <c r="P184" s="1"/>
      <c r="Q184" s="571" t="s">
        <v>318</v>
      </c>
      <c r="S184" s="89"/>
      <c r="T184" s="90" t="s">
        <v>166</v>
      </c>
      <c r="U184" s="90" t="s">
        <v>167</v>
      </c>
      <c r="V184" s="90" t="s">
        <v>168</v>
      </c>
      <c r="W184" s="90"/>
      <c r="X184" s="89"/>
      <c r="Y184" s="90" t="s">
        <v>217</v>
      </c>
      <c r="Z184" s="90" t="s">
        <v>218</v>
      </c>
      <c r="AA184" s="90" t="s">
        <v>219</v>
      </c>
      <c r="AB184" s="90" t="s">
        <v>220</v>
      </c>
      <c r="AC184" s="90" t="s">
        <v>221</v>
      </c>
      <c r="AD184" s="90" t="s">
        <v>222</v>
      </c>
    </row>
    <row r="185" spans="1:30" ht="17" thickBot="1" x14ac:dyDescent="0.25">
      <c r="A185" s="1"/>
      <c r="B185" s="24" t="s">
        <v>227</v>
      </c>
      <c r="C185" s="1"/>
      <c r="D185" s="141">
        <f>(D183*100)/D182</f>
        <v>5.9427375462168648</v>
      </c>
      <c r="E185" s="21" t="str">
        <f>IF(D185&gt;Data!$AF$13,"&lt;OVER!","% V Pk")</f>
        <v>% V Pk</v>
      </c>
      <c r="F185" s="142">
        <f>(F183*100)/F182</f>
        <v>5.9427375462168888</v>
      </c>
      <c r="G185" s="21" t="str">
        <f>IF(F185&gt;Data!$AF$13,"&lt;OVER!","% V Pk")</f>
        <v>% V Pk</v>
      </c>
      <c r="H185" s="142">
        <f>(H183*100)/H182</f>
        <v>5.9427375462168648</v>
      </c>
      <c r="I185" s="21" t="str">
        <f>IF(H185&gt;Data!$AF$13,"&lt;OVER!","% V Pk")</f>
        <v>% V Pk</v>
      </c>
      <c r="J185" s="142">
        <f>(J183*100)/J182</f>
        <v>4.3391417004123136</v>
      </c>
      <c r="K185" s="21" t="str">
        <f>IF(J185&gt;Data!$AF$13,"&lt;OVER!","% V Pk")</f>
        <v>% V Pk</v>
      </c>
      <c r="L185" s="142">
        <f>(L183*100)/L182</f>
        <v>4.3391417004123323</v>
      </c>
      <c r="M185" s="21" t="str">
        <f>IF(L185&gt;Data!$AF$13,"&lt;OVER!","% V Pk")</f>
        <v>% V Pk</v>
      </c>
      <c r="N185" s="142">
        <f>(N183*100)/N182</f>
        <v>4.3391417004123136</v>
      </c>
      <c r="O185" s="22" t="str">
        <f>IF(N185&gt;Data!$AF$13,"&lt;OVER!","% V Pk")</f>
        <v>% V Pk</v>
      </c>
      <c r="P185" s="1"/>
      <c r="Q185" s="571"/>
      <c r="S185" s="89" t="s">
        <v>224</v>
      </c>
      <c r="T185" s="90">
        <f>Data!$AF$6</f>
        <v>30</v>
      </c>
      <c r="U185" s="90">
        <f>Data!$AF$6</f>
        <v>30</v>
      </c>
      <c r="V185" s="90">
        <f>Data!$AF$6</f>
        <v>30</v>
      </c>
      <c r="W185" s="90"/>
      <c r="X185" s="89" t="s">
        <v>224</v>
      </c>
      <c r="Y185" s="90">
        <f>Data!$AF$7</f>
        <v>20</v>
      </c>
      <c r="Z185" s="90">
        <f>Data!$AF$7</f>
        <v>20</v>
      </c>
      <c r="AA185" s="90">
        <f>Data!$AF$7</f>
        <v>20</v>
      </c>
      <c r="AB185" s="90">
        <f>Data!$AF$7</f>
        <v>20</v>
      </c>
      <c r="AC185" s="90">
        <f>Data!$AF$7</f>
        <v>20</v>
      </c>
      <c r="AD185" s="90">
        <f>Data!$AF$7</f>
        <v>20</v>
      </c>
    </row>
    <row r="186" spans="1:30" x14ac:dyDescent="0.2">
      <c r="A186" s="1"/>
      <c r="B186" s="1"/>
      <c r="C186" s="1"/>
      <c r="D186" s="1"/>
      <c r="E186" s="1"/>
      <c r="F186" s="1"/>
      <c r="G186" s="1"/>
      <c r="H186" s="1"/>
      <c r="I186" s="1"/>
      <c r="J186" s="1"/>
      <c r="K186" s="1"/>
      <c r="L186" s="1"/>
      <c r="M186" s="1"/>
      <c r="N186" s="1"/>
      <c r="O186" s="1"/>
      <c r="P186" s="1"/>
      <c r="Q186" s="571"/>
      <c r="S186" s="89" t="s">
        <v>312</v>
      </c>
      <c r="T186" s="90">
        <f>Data!$AG$6</f>
        <v>24</v>
      </c>
      <c r="U186" s="90">
        <f>Data!$AG$6</f>
        <v>24</v>
      </c>
      <c r="V186" s="90">
        <f>Data!$AG$6</f>
        <v>24</v>
      </c>
      <c r="W186" s="90"/>
      <c r="X186" s="89" t="s">
        <v>312</v>
      </c>
      <c r="Y186" s="90">
        <f>Data!$AG$7</f>
        <v>16</v>
      </c>
      <c r="Z186" s="90">
        <f>Data!$AG$7</f>
        <v>16</v>
      </c>
      <c r="AA186" s="90">
        <f>Data!$AG$7</f>
        <v>16</v>
      </c>
      <c r="AB186" s="90">
        <f>Data!$AG$7</f>
        <v>16</v>
      </c>
      <c r="AC186" s="90">
        <f>Data!$AG$7</f>
        <v>16</v>
      </c>
      <c r="AD186" s="90">
        <f>Data!$AG$7</f>
        <v>16</v>
      </c>
    </row>
    <row r="187" spans="1:30" x14ac:dyDescent="0.2">
      <c r="A187" s="1"/>
      <c r="B187" s="1"/>
      <c r="C187" s="1"/>
      <c r="D187" s="1"/>
      <c r="E187" s="1"/>
      <c r="F187" s="1"/>
      <c r="G187" s="1"/>
      <c r="H187" s="1"/>
      <c r="I187" s="1"/>
      <c r="J187" s="1"/>
      <c r="K187" s="1"/>
      <c r="L187" s="1"/>
      <c r="M187" s="1"/>
      <c r="N187" s="1"/>
      <c r="O187" s="1"/>
      <c r="P187" s="1"/>
      <c r="Q187" s="571"/>
      <c r="S187" s="89" t="str">
        <f>'US MDM-5000'!B165</f>
        <v>MLTC A RMS</v>
      </c>
      <c r="T187" s="90">
        <f>'US MDM-5000'!D165</f>
        <v>23</v>
      </c>
      <c r="U187" s="90">
        <f>'US MDM-5000'!F165</f>
        <v>23.000000000000014</v>
      </c>
      <c r="V187" s="90">
        <f>'US MDM-5000'!H165</f>
        <v>19.166666666666629</v>
      </c>
      <c r="W187" s="90"/>
      <c r="X187" s="89" t="s">
        <v>226</v>
      </c>
      <c r="Y187" s="90">
        <f>Data!$AF$8</f>
        <v>80</v>
      </c>
      <c r="Z187" s="90">
        <f>Data!$AF$8</f>
        <v>80</v>
      </c>
      <c r="AA187" s="90">
        <f>Data!$AF$8</f>
        <v>80</v>
      </c>
      <c r="AB187" s="90">
        <f>Data!$AF$8</f>
        <v>80</v>
      </c>
      <c r="AC187" s="90">
        <f>Data!$AF$8</f>
        <v>80</v>
      </c>
      <c r="AD187" s="90">
        <f>Data!$AF$8</f>
        <v>80</v>
      </c>
    </row>
    <row r="188" spans="1:30" x14ac:dyDescent="0.2">
      <c r="A188" s="1"/>
      <c r="B188" s="1"/>
      <c r="C188" s="1"/>
      <c r="D188" s="1"/>
      <c r="E188" s="1"/>
      <c r="F188" s="1"/>
      <c r="G188" s="1"/>
      <c r="H188" s="1"/>
      <c r="I188" s="1"/>
      <c r="J188" s="1"/>
      <c r="K188" s="1"/>
      <c r="L188" s="1"/>
      <c r="M188" s="1"/>
      <c r="N188" s="1"/>
      <c r="O188" s="1"/>
      <c r="P188" s="1"/>
      <c r="Q188" s="571"/>
      <c r="S188" s="89" t="str">
        <f>'US MDM-5000'!B166</f>
        <v>Apparent Power</v>
      </c>
      <c r="T188" s="90">
        <f>'US MDM-5000'!D166</f>
        <v>4231.9999999999918</v>
      </c>
      <c r="U188" s="90">
        <f>'US MDM-5000'!F166</f>
        <v>4231.9999999999973</v>
      </c>
      <c r="V188" s="90">
        <f>'US MDM-5000'!H166</f>
        <v>4323.9999999999945</v>
      </c>
      <c r="W188" s="90"/>
      <c r="X188" s="89" t="str">
        <f>'US MDM-5000'!B177</f>
        <v>MLTC RMS</v>
      </c>
      <c r="Y188" s="91">
        <f>'US MDM-5000'!$D177</f>
        <v>13.279056191361381</v>
      </c>
      <c r="Z188" s="91">
        <f>'US MDM-5000'!F177</f>
        <v>13.279056191361409</v>
      </c>
      <c r="AA188" s="90">
        <f>'US MDM-5000'!H177</f>
        <v>13.279056191361381</v>
      </c>
      <c r="AB188" s="90">
        <f>'US MDM-5000'!J177</f>
        <v>11.065880159467818</v>
      </c>
      <c r="AC188" s="90">
        <f>'US MDM-5000'!L177</f>
        <v>11.065880159467842</v>
      </c>
      <c r="AD188" s="90">
        <f>'US MDM-5000'!N177</f>
        <v>11.065880159467818</v>
      </c>
    </row>
    <row r="189" spans="1:30" x14ac:dyDescent="0.2">
      <c r="A189" s="1"/>
      <c r="B189" s="1"/>
      <c r="C189" s="1"/>
      <c r="D189" s="1"/>
      <c r="E189" s="1"/>
      <c r="F189" s="1"/>
      <c r="G189" s="1"/>
      <c r="H189" s="1"/>
      <c r="I189" s="1"/>
      <c r="J189" s="1"/>
      <c r="K189" s="1"/>
      <c r="L189" s="1"/>
      <c r="M189" s="1"/>
      <c r="N189" s="1"/>
      <c r="O189" s="1"/>
      <c r="P189" s="1"/>
      <c r="Q189" s="571"/>
      <c r="S189" s="89" t="str">
        <f>'US MDM-5000'!B167</f>
        <v>Real Power</v>
      </c>
      <c r="T189" s="90">
        <f>'US MDM-5000'!D167</f>
        <v>2760</v>
      </c>
      <c r="U189" s="90">
        <f>'US MDM-5000'!F167</f>
        <v>2760.0000000000018</v>
      </c>
      <c r="V189" s="90">
        <f>'US MDM-5000'!H167</f>
        <v>2299.9999999999955</v>
      </c>
      <c r="W189" s="90"/>
      <c r="X189" s="89" t="str">
        <f>'US MDM-5000'!B178</f>
        <v>Burst RMS</v>
      </c>
      <c r="Y189" s="90">
        <f>'US MDM-5000'!D178</f>
        <v>20.361219493420784</v>
      </c>
      <c r="Z189" s="90">
        <f>'US MDM-5000'!F178</f>
        <v>20.36121949342083</v>
      </c>
      <c r="AA189" s="90">
        <f>'US MDM-5000'!H178</f>
        <v>20.361219493420784</v>
      </c>
      <c r="AB189" s="90">
        <f>'US MDM-5000'!J178</f>
        <v>20.803854699799498</v>
      </c>
      <c r="AC189" s="90">
        <f>'US MDM-5000'!L178</f>
        <v>20.803854699799544</v>
      </c>
      <c r="AD189" s="90">
        <f>'US MDM-5000'!N178</f>
        <v>20.803854699799498</v>
      </c>
    </row>
    <row r="190" spans="1:30" x14ac:dyDescent="0.2">
      <c r="A190" s="1"/>
      <c r="B190" s="1"/>
      <c r="C190" s="1"/>
      <c r="D190" s="1"/>
      <c r="E190" s="1"/>
      <c r="F190" s="1"/>
      <c r="G190" s="1"/>
      <c r="H190" s="1"/>
      <c r="I190" s="1"/>
      <c r="J190" s="1"/>
      <c r="K190" s="1"/>
      <c r="L190" s="1"/>
      <c r="M190" s="1"/>
      <c r="N190" s="1"/>
      <c r="O190" s="1"/>
      <c r="P190" s="1"/>
      <c r="Q190" s="571"/>
      <c r="S190" s="89"/>
      <c r="T190" s="90"/>
      <c r="U190" s="90"/>
      <c r="V190" s="90"/>
      <c r="W190" s="90"/>
      <c r="X190" s="89" t="str">
        <f>'US MDM-5000'!B179</f>
        <v>Max Inst Pk</v>
      </c>
      <c r="Y190" s="90">
        <f>'US MDM-5000'!D179</f>
        <v>55.772036003717801</v>
      </c>
      <c r="Z190" s="90">
        <f>'US MDM-5000'!F179</f>
        <v>55.772036003717922</v>
      </c>
      <c r="AA190" s="90">
        <f>'US MDM-5000'!H179</f>
        <v>55.772036003717801</v>
      </c>
      <c r="AB190" s="90">
        <f>'US MDM-5000'!J179</f>
        <v>40.722438986841567</v>
      </c>
      <c r="AC190" s="90">
        <f>'US MDM-5000'!L179</f>
        <v>40.722438986841659</v>
      </c>
      <c r="AD190" s="90">
        <f>'US MDM-5000'!N179</f>
        <v>40.722438986841567</v>
      </c>
    </row>
    <row r="191" spans="1:30" x14ac:dyDescent="0.2">
      <c r="A191" s="1"/>
      <c r="B191" s="1"/>
      <c r="C191" s="1"/>
      <c r="D191" s="1"/>
      <c r="E191" s="1"/>
      <c r="F191" s="1"/>
      <c r="G191" s="1"/>
      <c r="H191" s="1"/>
      <c r="I191" s="1"/>
      <c r="J191" s="1"/>
      <c r="K191" s="1"/>
      <c r="L191" s="1"/>
      <c r="M191" s="1"/>
      <c r="N191" s="1"/>
      <c r="O191" s="1"/>
      <c r="P191" s="1"/>
      <c r="Q191" s="571"/>
      <c r="S191" s="89"/>
      <c r="T191" s="90"/>
      <c r="U191" s="90"/>
      <c r="V191" s="90"/>
      <c r="W191" s="90"/>
      <c r="X191" s="89"/>
      <c r="Y191" s="90"/>
      <c r="Z191" s="90"/>
      <c r="AA191" s="90"/>
      <c r="AB191" s="90"/>
      <c r="AC191" s="90"/>
      <c r="AD191" s="90"/>
    </row>
    <row r="192" spans="1:30" x14ac:dyDescent="0.2">
      <c r="A192" s="1"/>
      <c r="B192" s="1"/>
      <c r="C192" s="1"/>
      <c r="D192" s="1"/>
      <c r="E192" s="1"/>
      <c r="F192" s="1"/>
      <c r="G192" s="1"/>
      <c r="H192" s="1"/>
      <c r="I192" s="1"/>
      <c r="J192" s="1"/>
      <c r="K192" s="1"/>
      <c r="L192" s="1"/>
      <c r="M192" s="1"/>
      <c r="N192" s="1"/>
      <c r="O192" s="1"/>
      <c r="P192" s="1"/>
      <c r="Q192" s="571"/>
      <c r="S192" s="89" t="s">
        <v>228</v>
      </c>
      <c r="T192" s="90">
        <f>IF(T187&lt;=T186,(100*T187)/T185,100*T186/T185)</f>
        <v>76.666666666666671</v>
      </c>
      <c r="U192" s="90">
        <f>IF(U187&lt;=U186,(100*U187)/U185,100*U186/U185)</f>
        <v>76.666666666666714</v>
      </c>
      <c r="V192" s="90">
        <f>IF(V187&lt;=V186,(100*V187)/V185,100*V186/V185)</f>
        <v>63.888888888888765</v>
      </c>
      <c r="W192" s="90"/>
      <c r="X192" s="89" t="s">
        <v>228</v>
      </c>
      <c r="Y192" s="90">
        <f t="shared" ref="Y192:AD192" si="30">IF(Y188&lt;=Y186,(100*Y188)/Y185,100*Y186/Y185)</f>
        <v>66.3952809568069</v>
      </c>
      <c r="Z192" s="90">
        <f t="shared" si="30"/>
        <v>66.395280956807056</v>
      </c>
      <c r="AA192" s="90">
        <f t="shared" si="30"/>
        <v>66.3952809568069</v>
      </c>
      <c r="AB192" s="90">
        <f t="shared" si="30"/>
        <v>55.32940079733909</v>
      </c>
      <c r="AC192" s="90">
        <f t="shared" si="30"/>
        <v>55.329400797339211</v>
      </c>
      <c r="AD192" s="90">
        <f t="shared" si="30"/>
        <v>55.32940079733909</v>
      </c>
    </row>
    <row r="193" spans="1:30" x14ac:dyDescent="0.2">
      <c r="A193" s="1"/>
      <c r="B193" s="1"/>
      <c r="C193" s="1"/>
      <c r="D193" s="1"/>
      <c r="E193" s="1"/>
      <c r="F193" s="1"/>
      <c r="G193" s="1"/>
      <c r="H193" s="1"/>
      <c r="I193" s="1"/>
      <c r="J193" s="1"/>
      <c r="K193" s="1"/>
      <c r="L193" s="1"/>
      <c r="M193" s="1"/>
      <c r="N193" s="1"/>
      <c r="O193" s="1"/>
      <c r="P193" s="1"/>
      <c r="Q193" s="571"/>
      <c r="S193" s="89" t="s">
        <v>313</v>
      </c>
      <c r="T193">
        <f>IF(T187&lt;=T186,0,((100*T187)/T185)-T192)</f>
        <v>0</v>
      </c>
      <c r="U193">
        <f>IF(U187&lt;=U186,0,((100*U187)/U185)-U192)</f>
        <v>0</v>
      </c>
      <c r="V193">
        <f>IF(V187&lt;=V186,0,((100*V187)/V185)-V192)</f>
        <v>0</v>
      </c>
      <c r="W193" s="90"/>
      <c r="X193" s="89" t="s">
        <v>313</v>
      </c>
      <c r="Y193" s="90">
        <f t="shared" ref="Y193:AD193" si="31">IF(Y188&lt;=Y186,0,((100*Y188)/Y185)-Y192)</f>
        <v>0</v>
      </c>
      <c r="Z193" s="90">
        <f t="shared" si="31"/>
        <v>0</v>
      </c>
      <c r="AA193" s="90">
        <f t="shared" si="31"/>
        <v>0</v>
      </c>
      <c r="AB193" s="90">
        <f t="shared" si="31"/>
        <v>0</v>
      </c>
      <c r="AC193" s="90">
        <f t="shared" si="31"/>
        <v>0</v>
      </c>
      <c r="AD193" s="90">
        <f t="shared" si="31"/>
        <v>0</v>
      </c>
    </row>
    <row r="194" spans="1:30" x14ac:dyDescent="0.2">
      <c r="A194" s="1"/>
      <c r="B194" s="1"/>
      <c r="C194" s="1"/>
      <c r="D194" s="1"/>
      <c r="E194" s="1"/>
      <c r="F194" s="1"/>
      <c r="G194" s="1"/>
      <c r="H194" s="1"/>
      <c r="I194" s="1"/>
      <c r="J194" s="1"/>
      <c r="K194" s="1"/>
      <c r="L194" s="1"/>
      <c r="M194" s="1"/>
      <c r="N194" s="1"/>
      <c r="O194" s="1"/>
      <c r="P194" s="1"/>
      <c r="Q194" s="571"/>
      <c r="S194" s="89" t="s">
        <v>229</v>
      </c>
      <c r="T194" s="90">
        <f>(T192+T193)-100</f>
        <v>-23.333333333333329</v>
      </c>
      <c r="U194" s="90">
        <f>(U192+U193)-100</f>
        <v>-23.333333333333286</v>
      </c>
      <c r="V194" s="90">
        <f>(V192+V193)-100</f>
        <v>-36.111111111111235</v>
      </c>
      <c r="W194" s="90"/>
      <c r="X194" s="89" t="s">
        <v>229</v>
      </c>
      <c r="Y194" s="90">
        <f t="shared" ref="Y194:AD194" si="32">(Y192+Y193)-100</f>
        <v>-33.6047190431931</v>
      </c>
      <c r="Z194" s="90">
        <f t="shared" si="32"/>
        <v>-33.604719043192944</v>
      </c>
      <c r="AA194" s="90">
        <f t="shared" si="32"/>
        <v>-33.6047190431931</v>
      </c>
      <c r="AB194" s="90">
        <f t="shared" si="32"/>
        <v>-44.67059920266091</v>
      </c>
      <c r="AC194" s="90">
        <f t="shared" si="32"/>
        <v>-44.670599202660789</v>
      </c>
      <c r="AD194" s="90">
        <f t="shared" si="32"/>
        <v>-44.67059920266091</v>
      </c>
    </row>
    <row r="195" spans="1:30" x14ac:dyDescent="0.2">
      <c r="A195" s="1"/>
      <c r="B195" s="1"/>
      <c r="C195" s="1"/>
      <c r="D195" s="1"/>
      <c r="E195" s="1"/>
      <c r="F195" s="1"/>
      <c r="G195" s="1"/>
      <c r="H195" s="1"/>
      <c r="I195" s="1"/>
      <c r="J195" s="1"/>
      <c r="K195" s="1"/>
      <c r="L195" s="1"/>
      <c r="M195" s="1"/>
      <c r="N195" s="1"/>
      <c r="O195" s="1"/>
      <c r="P195" s="1"/>
      <c r="Q195" s="571"/>
      <c r="S195" s="89" t="s">
        <v>314</v>
      </c>
      <c r="T195">
        <f>IF(T193=0,0,IF(T193&gt;100-T192,100-T192,T193))</f>
        <v>0</v>
      </c>
      <c r="U195">
        <f>IF(U193=0,0,IF(U193&gt;100-U192,100-U192,U193))</f>
        <v>0</v>
      </c>
      <c r="V195">
        <f>IF(V193=0,0,IF(V193&gt;100-V192,100-V192,V193))</f>
        <v>0</v>
      </c>
      <c r="W195" s="90"/>
      <c r="X195" s="89" t="s">
        <v>314</v>
      </c>
      <c r="Y195" s="90">
        <f t="shared" ref="Y195:AD195" si="33">IF(Y193=0,0,IF(Y193&gt;100-Y192,100-Y192,Y193))</f>
        <v>0</v>
      </c>
      <c r="Z195" s="90">
        <f t="shared" si="33"/>
        <v>0</v>
      </c>
      <c r="AA195" s="90">
        <f t="shared" si="33"/>
        <v>0</v>
      </c>
      <c r="AB195" s="90">
        <f t="shared" si="33"/>
        <v>0</v>
      </c>
      <c r="AC195" s="90">
        <f t="shared" si="33"/>
        <v>0</v>
      </c>
      <c r="AD195" s="90">
        <f t="shared" si="33"/>
        <v>0</v>
      </c>
    </row>
    <row r="196" spans="1:30" x14ac:dyDescent="0.2">
      <c r="A196" s="1"/>
      <c r="B196" s="1"/>
      <c r="C196" s="1"/>
      <c r="D196" s="1"/>
      <c r="E196" s="1"/>
      <c r="F196" s="1"/>
      <c r="G196" s="1"/>
      <c r="H196" s="1"/>
      <c r="I196" s="1"/>
      <c r="J196" s="1"/>
      <c r="K196" s="1"/>
      <c r="L196" s="1"/>
      <c r="M196" s="1"/>
      <c r="N196" s="1"/>
      <c r="O196" s="1"/>
      <c r="P196" s="1"/>
      <c r="Q196" s="571"/>
      <c r="S196" s="89" t="s">
        <v>231</v>
      </c>
      <c r="T196" s="90" t="e">
        <f>IF(T192+T193&gt;100,(T192+T193)-(T195+T192),NA())</f>
        <v>#N/A</v>
      </c>
      <c r="U196" s="90" t="e">
        <f>IF(U192+U193&gt;100,(U192+U193)-(U195+U192),NA())</f>
        <v>#N/A</v>
      </c>
      <c r="V196" s="90" t="e">
        <f>IF(V192+V193&gt;100,(V192+V193)-(V195+V192),NA())</f>
        <v>#N/A</v>
      </c>
      <c r="W196" s="90"/>
      <c r="X196" s="89" t="s">
        <v>231</v>
      </c>
      <c r="Y196" s="90" t="e">
        <f t="shared" ref="Y196:AD196" si="34">IF(Y192+Y193&gt;100,(Y192+Y193)-(Y195+Y192),NA())</f>
        <v>#N/A</v>
      </c>
      <c r="Z196" s="90" t="e">
        <f t="shared" si="34"/>
        <v>#N/A</v>
      </c>
      <c r="AA196" s="90" t="e">
        <f t="shared" si="34"/>
        <v>#N/A</v>
      </c>
      <c r="AB196" s="90" t="e">
        <f t="shared" si="34"/>
        <v>#N/A</v>
      </c>
      <c r="AC196" s="90" t="e">
        <f t="shared" si="34"/>
        <v>#N/A</v>
      </c>
      <c r="AD196" s="90" t="e">
        <f t="shared" si="34"/>
        <v>#N/A</v>
      </c>
    </row>
    <row r="197" spans="1:30" x14ac:dyDescent="0.2">
      <c r="A197" s="1"/>
      <c r="B197" s="1"/>
      <c r="C197" s="1"/>
      <c r="D197" s="1"/>
      <c r="E197" s="1"/>
      <c r="F197" s="1"/>
      <c r="G197" s="1"/>
      <c r="H197" s="1"/>
      <c r="I197" s="1"/>
      <c r="J197" s="1"/>
      <c r="K197" s="1"/>
      <c r="L197" s="1"/>
      <c r="M197" s="1"/>
      <c r="N197" s="1"/>
      <c r="O197" s="1"/>
      <c r="P197" s="1"/>
      <c r="Q197" s="571"/>
      <c r="S197" s="89"/>
      <c r="W197" s="90"/>
      <c r="X197" s="89" t="s">
        <v>232</v>
      </c>
      <c r="Y197" s="90">
        <f>Data!$AF$13</f>
        <v>10</v>
      </c>
      <c r="Z197" s="90">
        <f>Data!$AF$13</f>
        <v>10</v>
      </c>
      <c r="AA197" s="90">
        <f>Data!$AF$13</f>
        <v>10</v>
      </c>
      <c r="AB197" s="90">
        <f>Data!$AF$13</f>
        <v>10</v>
      </c>
      <c r="AC197" s="90">
        <f>Data!$AF$13</f>
        <v>10</v>
      </c>
      <c r="AD197" s="90">
        <f>Data!$AF$13</f>
        <v>10</v>
      </c>
    </row>
    <row r="198" spans="1:30" x14ac:dyDescent="0.2">
      <c r="A198" s="1"/>
      <c r="B198" s="1"/>
      <c r="C198" s="1"/>
      <c r="D198" s="1"/>
      <c r="E198" s="1"/>
      <c r="F198" s="1"/>
      <c r="G198" s="1"/>
      <c r="H198" s="1"/>
      <c r="I198" s="1"/>
      <c r="J198" s="1"/>
      <c r="K198" s="1"/>
      <c r="L198" s="1"/>
      <c r="M198" s="1"/>
      <c r="N198" s="1"/>
      <c r="O198" s="1"/>
      <c r="P198" s="1"/>
      <c r="Q198" s="571"/>
      <c r="S198" s="89"/>
      <c r="T198" s="90"/>
      <c r="U198" s="90"/>
      <c r="V198" s="90"/>
      <c r="W198" s="90"/>
      <c r="X198" s="89" t="s">
        <v>233</v>
      </c>
      <c r="Y198" s="92">
        <f>'US MDM-5000'!D185</f>
        <v>5.9427375462168648</v>
      </c>
      <c r="Z198" s="92">
        <f>'US MDM-5000'!F185</f>
        <v>5.9427375462168888</v>
      </c>
      <c r="AA198" s="92">
        <f>'US MDM-5000'!H185</f>
        <v>5.9427375462168648</v>
      </c>
      <c r="AB198" s="92">
        <f>'US MDM-5000'!J185</f>
        <v>4.3391417004123136</v>
      </c>
      <c r="AC198" s="92">
        <f>'US MDM-5000'!L185</f>
        <v>4.3391417004123323</v>
      </c>
      <c r="AD198" s="92">
        <f>'US MDM-5000'!N185</f>
        <v>4.3391417004123136</v>
      </c>
    </row>
    <row r="199" spans="1:30" x14ac:dyDescent="0.2">
      <c r="A199" s="1"/>
      <c r="B199" s="1"/>
      <c r="C199" s="1"/>
      <c r="D199" s="1"/>
      <c r="E199" s="1"/>
      <c r="F199" s="1"/>
      <c r="G199" s="1"/>
      <c r="H199" s="1"/>
      <c r="I199" s="1"/>
      <c r="J199" s="1"/>
      <c r="K199" s="1"/>
      <c r="L199" s="1"/>
      <c r="M199" s="1"/>
      <c r="N199" s="1"/>
      <c r="O199" s="1"/>
      <c r="P199" s="1"/>
      <c r="Q199" s="571"/>
      <c r="S199" s="89"/>
      <c r="T199" s="90"/>
      <c r="U199" s="90"/>
      <c r="V199" s="90"/>
      <c r="W199" s="90"/>
      <c r="X199" s="89" t="s">
        <v>234</v>
      </c>
      <c r="Y199" s="90">
        <f t="shared" ref="Y199:AD199" si="35">IF(-Y198&gt;-Y197,-Y198,-Y197)</f>
        <v>-5.9427375462168648</v>
      </c>
      <c r="Z199" s="90">
        <f t="shared" si="35"/>
        <v>-5.9427375462168888</v>
      </c>
      <c r="AA199" s="90">
        <f t="shared" si="35"/>
        <v>-5.9427375462168648</v>
      </c>
      <c r="AB199" s="90">
        <f t="shared" si="35"/>
        <v>-4.3391417004123136</v>
      </c>
      <c r="AC199" s="90">
        <f t="shared" si="35"/>
        <v>-4.3391417004123323</v>
      </c>
      <c r="AD199" s="90">
        <f t="shared" si="35"/>
        <v>-4.3391417004123136</v>
      </c>
    </row>
    <row r="200" spans="1:30" ht="17" thickBot="1" x14ac:dyDescent="0.25">
      <c r="A200" s="1"/>
      <c r="B200" s="71" t="str">
        <f>Data!$T$1</f>
        <v>Meyer Sound Laboratories, Inc. Berkeley, California, USA                                 www.meyersound.com</v>
      </c>
      <c r="C200" s="1"/>
      <c r="D200" s="1"/>
      <c r="E200" s="1"/>
      <c r="F200" s="1"/>
      <c r="G200" s="1"/>
      <c r="H200" s="1"/>
      <c r="I200" s="1"/>
      <c r="J200" s="1"/>
      <c r="K200" s="1"/>
      <c r="L200" s="1"/>
      <c r="M200" s="1"/>
      <c r="N200" s="1"/>
      <c r="O200" s="1"/>
      <c r="P200" s="392" t="str">
        <f>Data!$G$1</f>
        <v>© 2021</v>
      </c>
      <c r="Q200" s="571"/>
      <c r="S200" s="89"/>
      <c r="T200" s="90"/>
      <c r="U200" s="90"/>
      <c r="V200" s="90"/>
      <c r="W200" s="90"/>
      <c r="X200" s="89" t="s">
        <v>235</v>
      </c>
      <c r="Y200" s="90" t="e">
        <f t="shared" ref="Y200:AD200" si="36">IF(-Y198&gt;-Y197,NA(),-Y198+Y197)</f>
        <v>#N/A</v>
      </c>
      <c r="Z200" s="90" t="e">
        <f t="shared" si="36"/>
        <v>#N/A</v>
      </c>
      <c r="AA200" s="90" t="e">
        <f t="shared" si="36"/>
        <v>#N/A</v>
      </c>
      <c r="AB200" s="90" t="e">
        <f t="shared" si="36"/>
        <v>#N/A</v>
      </c>
      <c r="AC200" s="90" t="e">
        <f t="shared" si="36"/>
        <v>#N/A</v>
      </c>
      <c r="AD200" s="90" t="e">
        <f t="shared" si="36"/>
        <v>#N/A</v>
      </c>
    </row>
    <row r="201" spans="1:30" x14ac:dyDescent="0.2">
      <c r="A201" s="133"/>
      <c r="B201" s="133"/>
      <c r="C201" s="133"/>
      <c r="D201" s="133"/>
      <c r="E201" s="133"/>
      <c r="F201" s="133"/>
      <c r="G201" s="133"/>
      <c r="H201" s="133"/>
      <c r="I201" s="133"/>
      <c r="J201" s="133"/>
      <c r="K201" s="133"/>
      <c r="L201" s="133"/>
      <c r="M201" s="133"/>
      <c r="N201" s="133"/>
      <c r="O201" s="163" t="str">
        <f>Data!$M$1</f>
        <v>06.257.005.01 C</v>
      </c>
      <c r="P201" s="133"/>
      <c r="W201" t="s">
        <v>272</v>
      </c>
      <c r="Z201" s="90"/>
      <c r="AA201" t="s">
        <v>272</v>
      </c>
    </row>
    <row r="202" spans="1:30" x14ac:dyDescent="0.2">
      <c r="A202" s="1"/>
      <c r="B202" s="10" t="s">
        <v>192</v>
      </c>
      <c r="C202" s="1"/>
      <c r="D202" s="73" t="s">
        <v>279</v>
      </c>
      <c r="E202" s="73" t="s">
        <v>280</v>
      </c>
      <c r="F202" s="73" t="s">
        <v>281</v>
      </c>
      <c r="G202" s="74" t="s">
        <v>282</v>
      </c>
      <c r="H202" s="74" t="s">
        <v>283</v>
      </c>
      <c r="I202" s="74" t="s">
        <v>284</v>
      </c>
      <c r="J202" s="1"/>
      <c r="K202" s="627" t="s">
        <v>160</v>
      </c>
      <c r="L202" s="628"/>
      <c r="M202" s="104" t="s">
        <v>158</v>
      </c>
      <c r="N202" s="70"/>
      <c r="O202" s="72">
        <v>12</v>
      </c>
      <c r="P202" s="1"/>
      <c r="V202" s="623" t="s">
        <v>104</v>
      </c>
      <c r="W202" s="93">
        <f>D203*COS(RADIANS(0))</f>
        <v>120</v>
      </c>
      <c r="X202" s="93">
        <f>E203*COS(RADIANS(-120))</f>
        <v>-59.999999999999972</v>
      </c>
      <c r="Y202" s="93">
        <f>F203*COS(RADIANS(120))</f>
        <v>-59.999999999999972</v>
      </c>
      <c r="Z202" s="95" t="s">
        <v>285</v>
      </c>
      <c r="AA202" s="93">
        <f>G203*COS(RADIANS(0))</f>
        <v>120</v>
      </c>
      <c r="AB202" s="93">
        <f>H203*COS(RADIANS(-120))</f>
        <v>-59.999999999999972</v>
      </c>
      <c r="AC202" s="93">
        <f>I203*COS(RADIANS(120))</f>
        <v>-59.999999999999972</v>
      </c>
    </row>
    <row r="203" spans="1:30" x14ac:dyDescent="0.2">
      <c r="A203" s="1"/>
      <c r="B203" s="69"/>
      <c r="C203" s="1"/>
      <c r="D203" s="139">
        <f>'Master US'!$D$4</f>
        <v>120</v>
      </c>
      <c r="E203" s="139">
        <f>'Master US'!$G$4</f>
        <v>120</v>
      </c>
      <c r="F203" s="139">
        <f>'Master US'!$J$4</f>
        <v>120</v>
      </c>
      <c r="G203" s="139">
        <f>'Master US'!$D$4</f>
        <v>120</v>
      </c>
      <c r="H203" s="139">
        <f>'Master US'!$G$4</f>
        <v>120</v>
      </c>
      <c r="I203" s="139">
        <f>'Master US'!$J$4</f>
        <v>120</v>
      </c>
      <c r="J203" s="97"/>
      <c r="K203" s="103" t="s">
        <v>286</v>
      </c>
      <c r="L203" s="103" t="s">
        <v>287</v>
      </c>
      <c r="M203" s="71"/>
      <c r="N203" s="134"/>
      <c r="O203" s="1"/>
      <c r="P203" s="1"/>
      <c r="V203" s="623"/>
      <c r="W203" s="93">
        <f>D203*SIN(RADIANS(0))</f>
        <v>0</v>
      </c>
      <c r="X203" s="93">
        <f>E203*SIN(RADIANS(-120))</f>
        <v>-103.92304845413264</v>
      </c>
      <c r="Y203" s="93">
        <f>F203*SIN(RADIANS(120))</f>
        <v>103.92304845413264</v>
      </c>
      <c r="Z203" s="95" t="s">
        <v>288</v>
      </c>
      <c r="AA203" s="93">
        <f>G203*SIN(RADIANS(0))</f>
        <v>0</v>
      </c>
      <c r="AB203" s="93">
        <f>H203*SIN(RADIANS(-120))</f>
        <v>-103.92304845413264</v>
      </c>
      <c r="AC203" s="93">
        <f>I203*SIN(RADIANS(120))</f>
        <v>103.92304845413264</v>
      </c>
    </row>
    <row r="204" spans="1:30" ht="5" customHeight="1" x14ac:dyDescent="0.25">
      <c r="A204" s="1"/>
      <c r="B204" s="2"/>
      <c r="C204" s="1"/>
      <c r="D204" s="5"/>
      <c r="E204" s="40"/>
      <c r="F204" s="5">
        <v>100</v>
      </c>
      <c r="G204" s="40"/>
      <c r="H204" s="5"/>
      <c r="I204" s="8"/>
      <c r="J204" s="98"/>
      <c r="K204" s="98"/>
      <c r="L204" s="1"/>
      <c r="M204" s="1"/>
      <c r="N204" s="1"/>
      <c r="O204" s="1"/>
      <c r="P204" s="1"/>
      <c r="V204" s="623"/>
      <c r="W204" s="93"/>
      <c r="X204" s="93"/>
      <c r="Y204" s="93"/>
      <c r="Z204" s="95"/>
      <c r="AA204" s="93"/>
      <c r="AB204" s="93"/>
      <c r="AC204" s="93"/>
    </row>
    <row r="205" spans="1:30" ht="15" customHeight="1" x14ac:dyDescent="0.25">
      <c r="A205" s="1"/>
      <c r="B205" s="23" t="s">
        <v>289</v>
      </c>
      <c r="C205" s="1"/>
      <c r="D205" s="75">
        <f>IMABS(W211)</f>
        <v>23</v>
      </c>
      <c r="E205" s="75">
        <f>IMABS(X211)</f>
        <v>23.000000000000014</v>
      </c>
      <c r="F205" s="75">
        <f>IMABS(Y211)</f>
        <v>23.000000000000014</v>
      </c>
      <c r="G205" s="75">
        <f>IMABS(AA211)</f>
        <v>19.1666666666667</v>
      </c>
      <c r="H205" s="75">
        <f>IMABS(AB211)</f>
        <v>19.166666666666629</v>
      </c>
      <c r="I205" s="75">
        <f>IMABS(AC211)</f>
        <v>19.166666666666629</v>
      </c>
      <c r="J205" s="102" t="s">
        <v>116</v>
      </c>
      <c r="K205" s="98"/>
      <c r="L205" s="1"/>
      <c r="M205" s="629" t="str">
        <f>IF('US MDM-5000'!U214=0,"O K pass UL",IF(AND('US MDM-5000'!S214=0,'US MDM-5000'!T214&gt;0),"OK Not UL",IF(AND('US MDM-5000'!S214&gt;0,'US MDM-5000'!T214&gt;0),"N O !","N O !")))</f>
        <v>O K pass UL</v>
      </c>
      <c r="N205" s="630"/>
      <c r="O205" s="635">
        <v>6</v>
      </c>
      <c r="P205" s="71"/>
      <c r="V205" s="623"/>
      <c r="W205" s="92" t="str">
        <f>COMPLEX(W202,W203)</f>
        <v>120</v>
      </c>
      <c r="X205" s="92" t="str">
        <f>COMPLEX(X202,X203)</f>
        <v>-60-103.923048454133i</v>
      </c>
      <c r="Y205" s="92" t="str">
        <f>COMPLEX(Y202,Y203)</f>
        <v>-60+103.923048454133i</v>
      </c>
      <c r="Z205" s="95" t="s">
        <v>290</v>
      </c>
      <c r="AA205" s="92" t="str">
        <f>COMPLEX(AA202,AA203)</f>
        <v>120</v>
      </c>
      <c r="AB205" s="92" t="str">
        <f>COMPLEX(AB202,AB203)</f>
        <v>-60-103.923048454133i</v>
      </c>
      <c r="AC205" s="92" t="str">
        <f>COMPLEX(AC202,AC203)</f>
        <v>-60+103.923048454133i</v>
      </c>
    </row>
    <row r="206" spans="1:30" ht="15" customHeight="1" x14ac:dyDescent="0.2">
      <c r="A206" s="1"/>
      <c r="B206" s="23" t="s">
        <v>291</v>
      </c>
      <c r="C206" s="1"/>
      <c r="D206" s="146">
        <f>D203*W206</f>
        <v>4231.9999999999918</v>
      </c>
      <c r="E206" s="146">
        <f>E203*X206</f>
        <v>4231.9999999999973</v>
      </c>
      <c r="F206" s="146">
        <f>F203*Y206</f>
        <v>4231.9999999999973</v>
      </c>
      <c r="G206" s="146">
        <f>G203*AA206</f>
        <v>4324.0000000000082</v>
      </c>
      <c r="H206" s="146">
        <f>H203*AB206</f>
        <v>4323.9999999999945</v>
      </c>
      <c r="I206" s="146">
        <f>I203*AC206</f>
        <v>4323.9999999999945</v>
      </c>
      <c r="J206" s="100" t="s">
        <v>265</v>
      </c>
      <c r="K206" s="106">
        <f>(SQRT(POWER(E203,2)+POWER(F203,2)+POWER(D203,2)))*(SQRT(POWER(E205,2)+POWER(F205,2)+POWER(D205,2)))</f>
        <v>8280.0000000000036</v>
      </c>
      <c r="L206" s="107">
        <f>(SQRT(POWER(H203,2)+POWER(I203,2)+POWER(G203,2)))*(SQRT(POWER(H205,2)+POWER(I205,2)+POWER(G205,2)))</f>
        <v>6899.9999999999955</v>
      </c>
      <c r="M206" s="631"/>
      <c r="N206" s="632"/>
      <c r="O206" s="635"/>
      <c r="P206" s="71"/>
      <c r="V206" s="623" t="s">
        <v>292</v>
      </c>
      <c r="W206">
        <f>IMABS(W209)</f>
        <v>35.266666666666602</v>
      </c>
      <c r="X206">
        <f>IMABS(X209)</f>
        <v>35.266666666666644</v>
      </c>
      <c r="Y206">
        <f>IMABS(Y209)</f>
        <v>35.266666666666644</v>
      </c>
      <c r="Z206" s="95" t="s">
        <v>293</v>
      </c>
      <c r="AA206">
        <f>IMABS(AA209)</f>
        <v>36.033333333333402</v>
      </c>
      <c r="AB206">
        <f>IMABS(AB209)</f>
        <v>36.033333333333289</v>
      </c>
      <c r="AC206">
        <f>IMABS(AC209)</f>
        <v>36.033333333333289</v>
      </c>
    </row>
    <row r="207" spans="1:30" ht="15" customHeight="1" x14ac:dyDescent="0.2">
      <c r="A207" s="1"/>
      <c r="B207" s="24" t="s">
        <v>266</v>
      </c>
      <c r="C207" s="1"/>
      <c r="D207" s="146">
        <f>IFERROR(D203*D205*COS(RADIANS(0-W207)),0)</f>
        <v>2760</v>
      </c>
      <c r="E207" s="146">
        <f>IFERROR(E203*E205*COS(RADIANS(-120-X207)),0)</f>
        <v>2760.0000000000018</v>
      </c>
      <c r="F207" s="146">
        <f>IFERROR(F203*F205*COS(RADIANS(120-Y207)),0)</f>
        <v>2760.0000000000018</v>
      </c>
      <c r="G207" s="146">
        <f>IFERROR(G203*G205*COS(RADIANS(0-AA207)),0)</f>
        <v>2300.0000000000041</v>
      </c>
      <c r="H207" s="146">
        <f>IFERROR(H203*H205*COS(RADIANS(-120-AB207)),0)</f>
        <v>2299.9999999999955</v>
      </c>
      <c r="I207" s="146">
        <f>IFERROR(I203*I205*COS(RADIANS(120-AC207)),0)</f>
        <v>2299.9999999999955</v>
      </c>
      <c r="J207" s="101" t="s">
        <v>267</v>
      </c>
      <c r="K207" s="105">
        <f>SUM(D207:F207)</f>
        <v>8280.0000000000036</v>
      </c>
      <c r="L207" s="108">
        <f>SUM(G207:I207)</f>
        <v>6899.9999999999955</v>
      </c>
      <c r="M207" s="633"/>
      <c r="N207" s="634"/>
      <c r="O207" s="635"/>
      <c r="P207" s="71"/>
      <c r="R207" t="s">
        <v>294</v>
      </c>
      <c r="S207" s="88">
        <f>O205</f>
        <v>6</v>
      </c>
      <c r="T207" t="s">
        <v>257</v>
      </c>
      <c r="V207" s="623"/>
      <c r="W207">
        <f>DEGREES(IMARGUMENT(W209))</f>
        <v>0</v>
      </c>
      <c r="X207">
        <f>DEGREES(IMARGUMENT(X209))</f>
        <v>-119.99999999999997</v>
      </c>
      <c r="Y207">
        <f>DEGREES(IMARGUMENT(Y209))</f>
        <v>119.99999999999997</v>
      </c>
      <c r="Z207" s="90" t="s">
        <v>296</v>
      </c>
      <c r="AA207">
        <f>DEGREES(IMARGUMENT(AA209))</f>
        <v>0</v>
      </c>
      <c r="AB207">
        <f>DEGREES(IMARGUMENT(AB209))</f>
        <v>-120.00000000000011</v>
      </c>
      <c r="AC207">
        <f>DEGREES(IMARGUMENT(AC209))</f>
        <v>120.00000000000011</v>
      </c>
    </row>
    <row r="208" spans="1:30" ht="8" customHeight="1" thickBot="1" x14ac:dyDescent="0.25">
      <c r="A208" s="1"/>
      <c r="B208" s="1"/>
      <c r="C208" s="1"/>
      <c r="D208" s="1"/>
      <c r="E208" s="1"/>
      <c r="F208" s="1"/>
      <c r="G208" s="1"/>
      <c r="H208" s="1"/>
      <c r="I208" s="1"/>
      <c r="J208" s="1"/>
      <c r="K208" s="1"/>
      <c r="L208" s="1"/>
      <c r="M208" s="1"/>
      <c r="N208" s="1"/>
      <c r="O208" s="1"/>
      <c r="P208" s="1"/>
      <c r="R208" t="s">
        <v>162</v>
      </c>
      <c r="S208">
        <f>IF(OR('US MDM-5000'!E205&gt;Data!$AF$6,'US MDM-5000'!G205&gt;Data!$AF$6,'US MDM-5000'!I205&gt;Data!$AF$6,'US MDM-5000'!D205&gt;Data!$AF$6,'US MDM-5000'!F205&gt;Data!$AF$6,'US MDM-5000'!H205&gt;Data!$AF$6),1,0)</f>
        <v>0</v>
      </c>
      <c r="T208">
        <f>IF(OR('US MDM-5000'!E205&gt;Data!$AG$6,'US MDM-5000'!G205&gt;Data!$AG$6,'US MDM-5000'!I205&gt;Data!$AG$6,'US MDM-5000'!D205&gt;Data!$AG$6,'US MDM-5000'!F205&gt;Data!$AG$6,'US MDM-5000'!H205&gt;Data!$AG$6),1,0)</f>
        <v>0</v>
      </c>
      <c r="V208" s="623"/>
      <c r="Z208" s="94"/>
    </row>
    <row r="209" spans="1:30" x14ac:dyDescent="0.2">
      <c r="A209" s="1"/>
      <c r="B209" s="10" t="s">
        <v>203</v>
      </c>
      <c r="C209" s="1"/>
      <c r="D209" s="560" t="s">
        <v>297</v>
      </c>
      <c r="E209" s="561"/>
      <c r="F209" s="553" t="s">
        <v>298</v>
      </c>
      <c r="G209" s="561"/>
      <c r="H209" s="553" t="s">
        <v>299</v>
      </c>
      <c r="I209" s="561"/>
      <c r="J209" s="553" t="s">
        <v>300</v>
      </c>
      <c r="K209" s="561"/>
      <c r="L209" s="553" t="s">
        <v>301</v>
      </c>
      <c r="M209" s="561"/>
      <c r="N209" s="553" t="s">
        <v>302</v>
      </c>
      <c r="O209" s="554"/>
      <c r="P209" s="1"/>
      <c r="R209" t="s">
        <v>201</v>
      </c>
      <c r="S209">
        <f>IF(OR('US MDM-5000'!D217&gt;Data!$AF$7,'US MDM-5000'!F217&gt;Data!$AF$7,'US MDM-5000'!H217&gt;Data!$AF$7,'US MDM-5000'!J217&gt;Data!$AF$7,'US MDM-5000'!L217&gt;Data!$AF$7,'US MDM-5000'!N217&gt;Data!$AF$7),1,0)</f>
        <v>0</v>
      </c>
      <c r="T209">
        <f>IF(OR('US MDM-5000'!D217&gt;Data!$AG$7,'US MDM-5000'!F217&gt;Data!$AG$7,'US MDM-5000'!H217&gt;Data!$AG$7,'US MDM-5000'!J217&gt;Data!$AG$7,'US MDM-5000'!L217&gt;Data!$AG$7,'US MDM-5000'!N217&gt;Data!$AG$7),1,0)</f>
        <v>0</v>
      </c>
      <c r="V209" s="623"/>
      <c r="W209" t="str">
        <f>IMSUM(Y213,W212)</f>
        <v>35.2666666666666</v>
      </c>
      <c r="X209" t="str">
        <f>IMSUM(X212,W213)</f>
        <v>-17.6333333333333-30.5418292401312i</v>
      </c>
      <c r="Y209" t="str">
        <f>IMSUM(X213,Y212)</f>
        <v>-17.6333333333333+30.5418292401312i</v>
      </c>
      <c r="Z209" s="94"/>
      <c r="AA209" t="str">
        <f>IMSUM(AA212,AC213)</f>
        <v>36.0333333333334</v>
      </c>
      <c r="AB209" t="str">
        <f>IMSUM(AB212,AA213)</f>
        <v>-18.0166666666667-31.2057820496992i</v>
      </c>
      <c r="AC209" t="str">
        <f>IMSUM(AC212,AB213)</f>
        <v>-18.0166666666667+31.2057820496992i</v>
      </c>
    </row>
    <row r="210" spans="1:30" x14ac:dyDescent="0.2">
      <c r="A210" s="1"/>
      <c r="B210" s="99" t="s">
        <v>303</v>
      </c>
      <c r="C210" s="1"/>
      <c r="D210" s="626" t="s">
        <v>304</v>
      </c>
      <c r="E210" s="624"/>
      <c r="F210" s="624" t="s">
        <v>304</v>
      </c>
      <c r="G210" s="624"/>
      <c r="H210" s="624" t="s">
        <v>304</v>
      </c>
      <c r="I210" s="624"/>
      <c r="J210" s="624" t="s">
        <v>304</v>
      </c>
      <c r="K210" s="624"/>
      <c r="L210" s="624" t="s">
        <v>304</v>
      </c>
      <c r="M210" s="624"/>
      <c r="N210" s="624" t="s">
        <v>304</v>
      </c>
      <c r="O210" s="624"/>
      <c r="P210" s="1"/>
      <c r="V210" s="94"/>
      <c r="Z210" s="90"/>
    </row>
    <row r="211" spans="1:30" x14ac:dyDescent="0.2">
      <c r="A211" s="1"/>
      <c r="B211" s="23" t="s">
        <v>205</v>
      </c>
      <c r="C211" s="1"/>
      <c r="D211" s="32" t="s">
        <v>236</v>
      </c>
      <c r="E211" s="33">
        <v>8</v>
      </c>
      <c r="F211" s="34" t="s">
        <v>236</v>
      </c>
      <c r="G211" s="33">
        <v>8</v>
      </c>
      <c r="H211" s="34" t="s">
        <v>236</v>
      </c>
      <c r="I211" s="33">
        <v>8</v>
      </c>
      <c r="J211" s="34" t="s">
        <v>237</v>
      </c>
      <c r="K211" s="33">
        <v>4</v>
      </c>
      <c r="L211" s="34" t="s">
        <v>237</v>
      </c>
      <c r="M211" s="33">
        <v>4</v>
      </c>
      <c r="N211" s="34" t="s">
        <v>237</v>
      </c>
      <c r="O211" s="35">
        <v>4</v>
      </c>
      <c r="P211" s="1"/>
      <c r="R211" t="s">
        <v>202</v>
      </c>
      <c r="S211">
        <f>IF(OR('US MDM-5000'!D219&gt;Data!$AF$8,'US MDM-5000'!F219&gt;Data!$AF$8,'US MDM-5000'!H219&gt;Data!$AF$8,'US MDM-5000'!J219&gt;Data!$AF$8,'US MDM-5000'!L219&gt;Data!$AF$8,'US MDM-5000'!N219&gt;Data!$AF$8),1,0)</f>
        <v>0</v>
      </c>
      <c r="V211" s="625" t="s">
        <v>305</v>
      </c>
      <c r="W211" t="str">
        <f>IMSUM(Y222,W221)</f>
        <v>23</v>
      </c>
      <c r="X211" t="str">
        <f>IMSUM(X221,W222)</f>
        <v>-11.5-19.9185842870421i</v>
      </c>
      <c r="Y211" t="str">
        <f>IMSUM(X222,Y221)</f>
        <v>-11.5+19.9185842870421i</v>
      </c>
      <c r="Z211" s="94"/>
      <c r="AA211" t="str">
        <f>IMSUM(AA221,AC222)</f>
        <v>19.1666666666667</v>
      </c>
      <c r="AB211" t="str">
        <f>IMSUM(AB221,AA222)</f>
        <v>-9.58333333333333-16.5988202392017i</v>
      </c>
      <c r="AC211" t="str">
        <f>IMSUM(AC221,AB222)</f>
        <v>-9.58333333333333+16.5988202392017i</v>
      </c>
    </row>
    <row r="212" spans="1:30" x14ac:dyDescent="0.2">
      <c r="A212" s="1"/>
      <c r="B212" s="23" t="s">
        <v>205</v>
      </c>
      <c r="C212" s="1"/>
      <c r="D212" s="36" t="s">
        <v>127</v>
      </c>
      <c r="E212" s="33">
        <v>0</v>
      </c>
      <c r="F212" s="37" t="s">
        <v>127</v>
      </c>
      <c r="G212" s="33">
        <v>0</v>
      </c>
      <c r="H212" s="37" t="s">
        <v>127</v>
      </c>
      <c r="I212" s="33">
        <v>0</v>
      </c>
      <c r="J212" s="37" t="s">
        <v>127</v>
      </c>
      <c r="K212" s="33">
        <v>0</v>
      </c>
      <c r="L212" s="37" t="s">
        <v>127</v>
      </c>
      <c r="M212" s="33">
        <v>0</v>
      </c>
      <c r="N212" s="37" t="s">
        <v>127</v>
      </c>
      <c r="O212" s="35">
        <v>0</v>
      </c>
      <c r="P212" s="1"/>
      <c r="R212" t="s">
        <v>204</v>
      </c>
      <c r="S212">
        <f>IF(OR('US MDM-5000'!D225&gt;Data!$AF$13,'US MDM-5000'!F225&gt;Data!$AF$13,'US MDM-5000'!H225&gt;Data!$AF$13,'US MDM-5000'!J225&gt;Data!$AF$13,'US MDM-5000'!L225&gt;Data!$AF$13,'US MDM-5000'!N225&gt;Data!$AF$13),1,0)</f>
        <v>0</v>
      </c>
      <c r="V212" s="625"/>
      <c r="W212" t="str">
        <f>IF(D210="On",COMPLEX((D218*COS(RADIANS(30))),(D218*SIN(RADIANS(30)))),COMPLEX((0*COS(RADIANS(30))),(0*SIN(RADIANS(30)))))</f>
        <v>17.6333333333333+10.1806097467104i</v>
      </c>
      <c r="X212" t="str">
        <f>IF(F210="On",COMPLEX((F218*COS(RADIANS(-90))),(F218*SIN(RADIANS(-90)))),COMPLEX((0*COS(RADIANS(-90))),(0*SIN(RADIANS(-90)))))</f>
        <v>1.24727583012099E-15-20.3612194934208i</v>
      </c>
      <c r="Y212" t="str">
        <f>IF(H210="On",COMPLEX((H218*COS(RADIANS(150))),(H218*SIN(RADIANS(150)))),COMPLEX((0*COS(RADIANS(150))),(0*SIN(RADIANS(150)))))</f>
        <v>-17.6333333333333+10.1806097467104i</v>
      </c>
      <c r="Z212" s="94" t="s">
        <v>306</v>
      </c>
      <c r="AA212" t="str">
        <f>IF(J210="On",COMPLEX(J218*COS(RADIANS(30)),J218*SIN(RADIANS(30))),COMPLEX(0*COS(RADIANS(30)),0*SIN(RADIANS(30))))</f>
        <v>18.0166666666667+10.4019273498997i</v>
      </c>
      <c r="AB212" t="str">
        <f>IF(L210="On",COMPLEX(L218*COS(RADIANS(-90)),L218*SIN(RADIANS(-90))),COMPLEX(0*COS(RADIANS(-90)),0*SIN(RADIANS(-90))))</f>
        <v>1.27439052208014E-15-20.8038546997995i</v>
      </c>
      <c r="AC212" t="str">
        <f>IF(N210="On",COMPLEX(N218*COS(RADIANS(150)),N218*SIN(RADIANS(150))),COMPLEX(0*COS(RADIANS(150)),0*SIN(RADIANS(150))))</f>
        <v>-18.0166666666667+10.4019273498997i</v>
      </c>
    </row>
    <row r="213" spans="1:30" x14ac:dyDescent="0.2">
      <c r="A213" s="1"/>
      <c r="B213" s="23" t="s">
        <v>121</v>
      </c>
      <c r="C213" s="1"/>
      <c r="D213" s="38">
        <v>100</v>
      </c>
      <c r="E213" s="29" t="s">
        <v>307</v>
      </c>
      <c r="F213" s="39">
        <v>100</v>
      </c>
      <c r="G213" s="29" t="s">
        <v>307</v>
      </c>
      <c r="H213" s="39">
        <v>100</v>
      </c>
      <c r="I213" s="29" t="s">
        <v>307</v>
      </c>
      <c r="J213" s="39">
        <v>100</v>
      </c>
      <c r="K213" s="29" t="s">
        <v>307</v>
      </c>
      <c r="L213" s="39">
        <v>100</v>
      </c>
      <c r="M213" s="29" t="s">
        <v>307</v>
      </c>
      <c r="N213" s="39">
        <v>100</v>
      </c>
      <c r="O213" s="28" t="s">
        <v>307</v>
      </c>
      <c r="P213" s="1"/>
      <c r="W213" t="str">
        <f>IF(D210="On",COMPLEX(-(D218*COS(RADIANS(30))),-(D218*SIN(RADIANS(30)))),COMPLEX(-(0*COS(RADIANS(30))),-(0*SIN(RADIANS(30)))))</f>
        <v>-17.6333333333333-10.1806097467104i</v>
      </c>
      <c r="X213" t="str">
        <f>IF(F210="On",COMPLEX(-(F218*COS(RADIANS(-90))),-(F218*SIN(RADIANS(-90)))),COMPLEX(-(0*COS(RADIANS(-90))),-(0*SIN(RADIANS(-90)))))</f>
        <v>-1.24727583012099E-15+20.3612194934208i</v>
      </c>
      <c r="Y213" t="str">
        <f>IF(H210="On",COMPLEX(-(H218*COS(RADIANS(150))),-(H218*SIN(RADIANS(150)))),COMPLEX(-(0*COS(RADIANS(150))),-(0*SIN(RADIANS(150)))))</f>
        <v>17.6333333333333-10.1806097467104i</v>
      </c>
      <c r="Z213" s="96" t="s">
        <v>308</v>
      </c>
      <c r="AA213" t="str">
        <f>IF(J210="On",COMPLEX(-(J218*COS(RADIANS(30))),-(J218*SIN(RADIANS(30)))),COMPLEX(-(0*COS(RADIANS(30))),-(0*SIN(RADIANS(30)))))</f>
        <v>-18.0166666666667-10.4019273498997i</v>
      </c>
      <c r="AB213" t="str">
        <f>IF(L210="On",COMPLEX(-(L218*COS(RADIANS(-90))),-(L218*SIN(RADIANS(-90)))),COMPLEX(-(0*COS(RADIANS(-90))),-(0*SIN(RADIANS(-90)))))</f>
        <v>-1.27439052208014E-15+20.8038546997995i</v>
      </c>
      <c r="AC213" t="str">
        <f>IF(N210="On",COMPLEX(-(N218*COS(RADIANS(150))),-(N218*SIN(RADIANS(150)))),COMPLEX(-(0*COS(RADIANS(150))),-(0*SIN(RADIANS(150)))))</f>
        <v>18.0166666666667-10.4019273498997i</v>
      </c>
    </row>
    <row r="214" spans="1:30" ht="11" customHeight="1" x14ac:dyDescent="0.2">
      <c r="A214" s="1"/>
      <c r="B214" s="2"/>
      <c r="C214" s="1"/>
      <c r="D214" s="555" t="s">
        <v>210</v>
      </c>
      <c r="E214" s="556"/>
      <c r="F214" s="556"/>
      <c r="G214" s="556"/>
      <c r="H214" s="556"/>
      <c r="I214" s="556"/>
      <c r="J214" s="557" t="s">
        <v>210</v>
      </c>
      <c r="K214" s="556"/>
      <c r="L214" s="556"/>
      <c r="M214" s="556"/>
      <c r="N214" s="556"/>
      <c r="O214" s="558"/>
      <c r="P214" s="1"/>
      <c r="R214" t="s">
        <v>208</v>
      </c>
      <c r="S214">
        <f>SUM(S208:S212)</f>
        <v>0</v>
      </c>
      <c r="T214">
        <f>SUM(T208:T209)</f>
        <v>0</v>
      </c>
      <c r="U214">
        <f>SUM(S214:T214)</f>
        <v>0</v>
      </c>
      <c r="Z214" s="94"/>
    </row>
    <row r="215" spans="1:30" ht="6" customHeight="1" x14ac:dyDescent="0.2">
      <c r="A215" s="1"/>
      <c r="B215" s="2"/>
      <c r="C215" s="1"/>
      <c r="D215" s="3"/>
      <c r="E215" s="4"/>
      <c r="F215" s="5"/>
      <c r="G215" s="4"/>
      <c r="H215" s="5"/>
      <c r="I215" s="4"/>
      <c r="J215" s="5"/>
      <c r="K215" s="4"/>
      <c r="L215" s="5"/>
      <c r="M215" s="4"/>
      <c r="N215" s="5"/>
      <c r="O215" s="6"/>
      <c r="P215" s="1"/>
      <c r="Z215" s="94"/>
    </row>
    <row r="216" spans="1:30" ht="20" customHeight="1" x14ac:dyDescent="0.2">
      <c r="A216" s="1"/>
      <c r="B216" s="23" t="s">
        <v>271</v>
      </c>
      <c r="C216" s="1"/>
      <c r="D216" s="19">
        <f>W216</f>
        <v>207.84609690826545</v>
      </c>
      <c r="E216" s="29" t="s">
        <v>309</v>
      </c>
      <c r="F216" s="20">
        <f>X216</f>
        <v>207.846096908265</v>
      </c>
      <c r="G216" s="29" t="s">
        <v>309</v>
      </c>
      <c r="H216" s="20">
        <f>Y216</f>
        <v>207.84609690826545</v>
      </c>
      <c r="I216" s="29" t="s">
        <v>309</v>
      </c>
      <c r="J216" s="20">
        <f>AA216</f>
        <v>207.84609690826545</v>
      </c>
      <c r="K216" s="29" t="s">
        <v>309</v>
      </c>
      <c r="L216" s="20">
        <f>AB216</f>
        <v>207.846096908265</v>
      </c>
      <c r="M216" s="29" t="s">
        <v>309</v>
      </c>
      <c r="N216" s="20">
        <f>AC216</f>
        <v>207.84609690826545</v>
      </c>
      <c r="O216" s="28" t="s">
        <v>309</v>
      </c>
      <c r="P216" s="1"/>
      <c r="V216" s="623" t="s">
        <v>104</v>
      </c>
      <c r="W216">
        <f>IMABS(W218)</f>
        <v>207.84609690826545</v>
      </c>
      <c r="X216">
        <f>IMABS(X218)</f>
        <v>207.846096908265</v>
      </c>
      <c r="Y216">
        <f>IMABS(Y218)</f>
        <v>207.84609690826545</v>
      </c>
      <c r="Z216" s="90" t="s">
        <v>293</v>
      </c>
      <c r="AA216">
        <f>IMABS(AA218)</f>
        <v>207.84609690826545</v>
      </c>
      <c r="AB216">
        <f>IMABS(AB218)</f>
        <v>207.846096908265</v>
      </c>
      <c r="AC216">
        <f>IMABS(AC218)</f>
        <v>207.84609690826545</v>
      </c>
    </row>
    <row r="217" spans="1:30" x14ac:dyDescent="0.2">
      <c r="A217" s="1"/>
      <c r="B217" s="23" t="s">
        <v>211</v>
      </c>
      <c r="C217" s="1"/>
      <c r="D217" s="12">
        <f>IF(D210="On",(((VLOOKUP($D211,Data!$R$4:$U$62,2,FALSE)*$E211)+(VLOOKUP($D212,Data!$R$4:$U$62,2,FALSE)*$E212))/$D216)*Data!$R$3,0)</f>
        <v>13.279056191361381</v>
      </c>
      <c r="E217" s="13" t="str">
        <f>IF(D217&gt;Data!$AF$7,"&lt;OVER",IF(D217&gt;Data!$AG$7,"&lt;Not UL","A RMS"))</f>
        <v>A RMS</v>
      </c>
      <c r="F217" s="14">
        <f>IF(F210="On",(((VLOOKUP($F211,Data!$R$4:$U$62,2,FALSE)*$G211)+(VLOOKUP($F212,Data!$R$4:$U$62,2,FALSE)*$G212))/$F216)*Data!$R$3,0)</f>
        <v>13.279056191361409</v>
      </c>
      <c r="G217" s="13" t="str">
        <f>IF(F217&gt;Data!$AF$7,"&lt;OVER",IF(F217&gt;Data!$AG$7,"&lt;Not UL","A RMS"))</f>
        <v>A RMS</v>
      </c>
      <c r="H217" s="14">
        <f>IF(H210="On",(((VLOOKUP($H211,Data!$R$4:$U$62,2,FALSE)*$I211)+(VLOOKUP($H212,Data!$R$4:$U$62,2,FALSE)*$I212))/H216)*Data!$R$3,0)</f>
        <v>13.279056191361381</v>
      </c>
      <c r="I217" s="13" t="str">
        <f>IF(H217&gt;Data!$AF$7,"&lt;OVER",IF(H217&gt;Data!$AG$7,"&lt;Not UL","A RMS"))</f>
        <v>A RMS</v>
      </c>
      <c r="J217" s="14">
        <f>IF(J210="On",(((VLOOKUP($J211,Data!$R$4:$U$62,2,FALSE)*$K211)+(VLOOKUP($J212,Data!$R$4:$U$62,2,FALSE)*$K212))/$J216)*Data!$R$3,0)</f>
        <v>11.065880159467818</v>
      </c>
      <c r="K217" s="13" t="str">
        <f>IF(J217&gt;Data!$AF$7,"&lt;OVER",IF(J217&gt;Data!$AG$7,"&lt;Not UL","A RMS"))</f>
        <v>A RMS</v>
      </c>
      <c r="L217" s="14">
        <f>IF(L210="On",(((VLOOKUP($L211,Data!$R$4:$U$62,2,FALSE)*$M211)+(VLOOKUP($L212,Data!$R$4:$U$62,2,FALSE)*$M212))/$L216)*Data!$R$3,0)</f>
        <v>11.065880159467842</v>
      </c>
      <c r="M217" s="13" t="str">
        <f>IF(L217&gt;Data!$AF$7,"&lt;OVER",IF(L217&gt;Data!$AG$7,"&lt;Not UL","A RMS"))</f>
        <v>A RMS</v>
      </c>
      <c r="N217" s="14">
        <f>IF(N210="On",(((VLOOKUP($N211,Data!$R$4:$U$62,2,FALSE)*$O211)+(VLOOKUP($N212,Data!$R$4:$U$62,2,FALSE)*$O212))/$N216)*Data!$R$3,0)</f>
        <v>11.065880159467818</v>
      </c>
      <c r="O217" s="15" t="str">
        <f>IF(N217&gt;Data!$AF$7,"&lt;OVER",IF(N217&gt;Data!$AG$7,"&lt;Not UL","A RMS"))</f>
        <v>A RMS</v>
      </c>
      <c r="P217" s="1"/>
      <c r="V217" s="623"/>
      <c r="W217">
        <f>DEGREES(IMARGUMENT(W218))</f>
        <v>30.000000000000085</v>
      </c>
      <c r="X217">
        <f>DEGREES(IMARGUMENT(X218))</f>
        <v>-90</v>
      </c>
      <c r="Y217">
        <f>DEGREES(IMARGUMENT(Y218))</f>
        <v>149.99999999999991</v>
      </c>
      <c r="Z217" s="90" t="s">
        <v>296</v>
      </c>
      <c r="AA217">
        <f>DEGREES(IMARGUMENT(AA218))</f>
        <v>30.000000000000085</v>
      </c>
      <c r="AB217">
        <f>DEGREES(IMARGUMENT(AB218))</f>
        <v>-90</v>
      </c>
      <c r="AC217">
        <f>DEGREES(IMARGUMENT(AC218))</f>
        <v>149.99999999999991</v>
      </c>
    </row>
    <row r="218" spans="1:30" x14ac:dyDescent="0.2">
      <c r="A218" s="1"/>
      <c r="B218" s="23" t="s">
        <v>199</v>
      </c>
      <c r="C218" s="1"/>
      <c r="D218" s="12">
        <f>IF(D210="On",(((VLOOKUP($D211,Data!$R$4:$U$62,3,FALSE)*$E211)+(VLOOKUP($D212,Data!$R$4:$U$62,3,FALSE)*$E212))/$D216)*Data!$R$3,0)</f>
        <v>20.361219493420784</v>
      </c>
      <c r="E218" s="13" t="s">
        <v>116</v>
      </c>
      <c r="F218" s="14">
        <f>IF(F210="On",(((VLOOKUP($F211,Data!$R$4:$U$62,3,FALSE)*$G211)+(VLOOKUP($F212,Data!$R$4:$U$62,3,FALSE)*$G212))/$F216)*Data!$R$3,0)</f>
        <v>20.36121949342083</v>
      </c>
      <c r="G218" s="13" t="s">
        <v>116</v>
      </c>
      <c r="H218" s="14">
        <f>IF(H210="On",(((VLOOKUP($H211,Data!$R$4:$U$62,3,FALSE)*$I211)+(VLOOKUP($H212,Data!$R$4:$U$62,3,FALSE)*$I212))/$H216)*Data!$R$3,0)</f>
        <v>20.361219493420784</v>
      </c>
      <c r="I218" s="13" t="s">
        <v>116</v>
      </c>
      <c r="J218" s="14">
        <f>IF(J210="On",(((VLOOKUP($J211,Data!$R$4:$U$62,3,FALSE)*$K211)+(VLOOKUP($J212,Data!$R$4:$U$62,3,FALSE)*$K212))/$J216)*Data!$R$3,0)</f>
        <v>20.803854699799498</v>
      </c>
      <c r="K218" s="13" t="s">
        <v>116</v>
      </c>
      <c r="L218" s="14">
        <f>IF(L210="On",(((VLOOKUP($L211,Data!$R$4:$U$62,3,FALSE)*$M211)+(VLOOKUP($L212,Data!$R$4:$U$62,3,FALSE)*$M212))/$L216)*Data!$R$3,0)</f>
        <v>20.803854699799544</v>
      </c>
      <c r="M218" s="13" t="s">
        <v>116</v>
      </c>
      <c r="N218" s="14">
        <f>IF(N210="On",(((VLOOKUP($N211,Data!$R$4:$U$62,3,FALSE)*$O211)+(VLOOKUP($N212,Data!$R$4:$U$62,3,FALSE)*$O212))/$N216)*Data!$R$3,0)</f>
        <v>20.803854699799498</v>
      </c>
      <c r="O218" s="15" t="s">
        <v>116</v>
      </c>
      <c r="P218" s="1"/>
      <c r="V218" s="623"/>
      <c r="W218" t="str">
        <f>COMPLEX((W202-X202),(W203-X203))</f>
        <v>180+103.923048454133i</v>
      </c>
      <c r="X218" t="str">
        <f>COMPLEX(X202-Y202,X203-Y203)</f>
        <v>-207.846096908265i</v>
      </c>
      <c r="Y218" t="str">
        <f>COMPLEX(Y202-W202,Y203-W203)</f>
        <v>-180+103.923048454133i</v>
      </c>
      <c r="Z218" s="94" t="s">
        <v>306</v>
      </c>
      <c r="AA218" t="str">
        <f>COMPLEX(AA202-AB202,AA203-AB203)</f>
        <v>180+103.923048454133i</v>
      </c>
      <c r="AB218" t="str">
        <f>COMPLEX(AB202-AC202,AB203-AC203)</f>
        <v>-207.846096908265i</v>
      </c>
      <c r="AC218" t="str">
        <f>COMPLEX(AC202-AA202,AC203-AA203)</f>
        <v>-180+103.923048454133i</v>
      </c>
    </row>
    <row r="219" spans="1:30" x14ac:dyDescent="0.2">
      <c r="A219" s="1"/>
      <c r="B219" s="23" t="s">
        <v>200</v>
      </c>
      <c r="C219" s="1"/>
      <c r="D219" s="12">
        <f>IF(D210="On",(((VLOOKUP($D211,Data!$R$4:$U$62,4,FALSE)*$E211)+(VLOOKUP($D212,Data!$R$4:$U$62,4,FALSE)*$E212))/$D216)*Data!$R$3,0)</f>
        <v>55.772036003717801</v>
      </c>
      <c r="E219" s="13" t="str">
        <f>IF(D219&gt;Data!$AF$8,"&lt;OVER!","A Pk")</f>
        <v>A Pk</v>
      </c>
      <c r="F219" s="14">
        <f>IF(F210="On",(((VLOOKUP($F211,Data!$R$4:$U$62,4,FALSE)*$G211)+(VLOOKUP($F212,Data!$R$4:$U$62,4,FALSE)*$G212))/$F216)*Data!$R$3,0)</f>
        <v>55.772036003717922</v>
      </c>
      <c r="G219" s="13" t="str">
        <f>IF(F219&gt;Data!$AF$8,"&lt;OVER!","A Pk")</f>
        <v>A Pk</v>
      </c>
      <c r="H219" s="14">
        <f>IF(H210="On",(((VLOOKUP($H211,Data!$R$4:$U$62,4,FALSE)*$I211)+(VLOOKUP($H212,Data!$R$4:$U$62,4,FALSE)*$I212))/$H216)*Data!$R$3,)</f>
        <v>55.772036003717801</v>
      </c>
      <c r="I219" s="13" t="str">
        <f>IF(H219&gt;Data!$AF$8,"&lt;OVER!","A Pk")</f>
        <v>A Pk</v>
      </c>
      <c r="J219" s="14">
        <f>IF(J210="On",(((VLOOKUP($J211,Data!$R$4:$U$62,4,FALSE)*$K211)+(VLOOKUP($J212,Data!$R$4:$U$62,4,FALSE)*$K212))/$J216)*Data!$R$3,)</f>
        <v>40.722438986841567</v>
      </c>
      <c r="K219" s="13" t="str">
        <f>IF(J219&gt;Data!$AF$8,"&lt;OVER!","A Pk")</f>
        <v>A Pk</v>
      </c>
      <c r="L219" s="14">
        <f>IF(L210="On",(((VLOOKUP($L211,Data!$R$4:$U$62,4,FALSE)*$M211)+(VLOOKUP($L212,Data!$R$4:$U$62,4,FALSE)*$M212))/$L216)*Data!$R$3,0)</f>
        <v>40.722438986841659</v>
      </c>
      <c r="M219" s="13" t="str">
        <f>IF(L219&gt;Data!$AF$8,"&lt;OVER!","A Pk")</f>
        <v>A Pk</v>
      </c>
      <c r="N219" s="14">
        <f>IF(N210="On",(((VLOOKUP($N211,Data!$R$4:$U$62,4,FALSE)*$O211)+(VLOOKUP($N212,Data!$R$4:$U$62,4,FALSE)*$O212))/$N216)*Data!$R$3,0)</f>
        <v>40.722438986841567</v>
      </c>
      <c r="O219" s="15" t="str">
        <f>IF(N219&gt;Data!$AF$8,"&lt;OVER!","A Pk")</f>
        <v>A Pk</v>
      </c>
      <c r="P219" s="1"/>
      <c r="V219" s="623" t="s">
        <v>310</v>
      </c>
      <c r="W219" s="93"/>
      <c r="X219" s="93"/>
      <c r="Y219" s="93"/>
      <c r="Z219" s="94"/>
      <c r="AA219" s="93"/>
      <c r="AB219" s="93"/>
      <c r="AC219" s="93"/>
    </row>
    <row r="220" spans="1:30" ht="6" customHeight="1" x14ac:dyDescent="0.2">
      <c r="A220" s="1"/>
      <c r="B220" s="23"/>
      <c r="C220" s="1"/>
      <c r="D220" s="12"/>
      <c r="E220" s="16"/>
      <c r="F220" s="14"/>
      <c r="G220" s="16"/>
      <c r="H220" s="14"/>
      <c r="I220" s="16"/>
      <c r="J220" s="14"/>
      <c r="K220" s="16"/>
      <c r="L220" s="14"/>
      <c r="M220" s="16"/>
      <c r="N220" s="14"/>
      <c r="O220" s="15"/>
      <c r="P220" s="1"/>
      <c r="V220" s="623"/>
      <c r="Z220" s="94"/>
    </row>
    <row r="221" spans="1:30" x14ac:dyDescent="0.2">
      <c r="A221" s="1"/>
      <c r="B221" s="23" t="s">
        <v>212</v>
      </c>
      <c r="C221" s="1"/>
      <c r="D221" s="17">
        <f>(17*(10^-8))*(((2*D213)/3.280839895)/(((PI()/4)*((0.127*(92^((36-O202)/39)))^2))*(10^-5)))</f>
        <v>0.31320372803044888</v>
      </c>
      <c r="E221" s="16" t="s">
        <v>213</v>
      </c>
      <c r="F221" s="18">
        <f>(17*(10^-8))*(((2*F213)/3.280839895)/(((PI()/4)*((0.127*(92^((36-O202)/39)))^2))*(10^-5)))</f>
        <v>0.31320372803044888</v>
      </c>
      <c r="G221" s="16" t="s">
        <v>213</v>
      </c>
      <c r="H221" s="18">
        <f>(17*(10^-8))*(((2*H213)/3.280839895)/(((PI()/4)*((0.127*(92^((36-O202)/39)))^2))*(10^-5)))</f>
        <v>0.31320372803044888</v>
      </c>
      <c r="I221" s="16" t="s">
        <v>213</v>
      </c>
      <c r="J221" s="18">
        <f>(17*(10^-8))*(((2*J213)/3.280839895)/(((PI()/4)*((0.127*(92^((36-O202)/39)))^2))*(10^-5)))</f>
        <v>0.31320372803044888</v>
      </c>
      <c r="K221" s="16" t="s">
        <v>213</v>
      </c>
      <c r="L221" s="18">
        <f>(17*(10^-8))*(((2*L213)/3.280839895)/(((PI()/4)*((0.127*(92^((36-O202)/39)))^2))*(10^-5)))</f>
        <v>0.31320372803044888</v>
      </c>
      <c r="M221" s="16" t="s">
        <v>213</v>
      </c>
      <c r="N221" s="18">
        <f>(17*(10^-8))*(((2*N213)/3.280839895)/(((PI()/4)*((0.127*(92^((36-O202)/39)))^2))*(10^-5)))</f>
        <v>0.31320372803044888</v>
      </c>
      <c r="O221" s="15" t="s">
        <v>213</v>
      </c>
      <c r="P221" s="1"/>
      <c r="V221" s="623"/>
      <c r="W221" t="str">
        <f>IF(D210="On",COMPLEX((D217*COS(RADIANS(30))),(D217*SIN(RADIANS(30)))),COMPLEX((0*COS(RADIANS(30))),(0*SIN(RADIANS(30)))))</f>
        <v>11.5+6.63952809568069i</v>
      </c>
      <c r="X221" t="str">
        <f>IF(F210="On",COMPLEX((F217*COS(RADIANS(-90))),(F217*SIN(RADIANS(-90)))),COMPLEX((0*COS(RADIANS(-90))),(0*SIN(RADIANS(-90)))))</f>
        <v>8.13440758774559E-16-13.2790561913614i</v>
      </c>
      <c r="Y221" t="str">
        <f>IF(H210="On",COMPLEX((H217*COS(RADIANS(150))),(H217*SIN(RADIANS(150)))),COMPLEX((0*COS(RADIANS(150))),(0*SIN(RADIANS(150)))))</f>
        <v>-11.5+6.63952809568069i</v>
      </c>
      <c r="Z221" s="94" t="s">
        <v>306</v>
      </c>
      <c r="AA221" t="str">
        <f>IF(J210="On",COMPLEX(J217*COS(RADIANS(30)),J217*SIN(RADIANS(30))),COMPLEX(0*COS(RADIANS(30)),0*SIN(RADIANS(30))))</f>
        <v>9.58333333333333+5.53294007973391i</v>
      </c>
      <c r="AB221" t="str">
        <f>IF(L210="On",COMPLEX(L217*COS(RADIANS(-90)),L217*SIN(RADIANS(-90))),COMPLEX(0*COS(RADIANS(-90)),0*SIN(RADIANS(-90))))</f>
        <v>6.77867298978799E-16-11.0658801594678i</v>
      </c>
      <c r="AC221" t="str">
        <f>IF(N210="On",COMPLEX(N217*COS(RADIANS(150)),N217*SIN(RADIANS(150))),COMPLEX(0*COS(RADIANS(150)),0*SIN(RADIANS(150))))</f>
        <v>-9.58333333333333+5.53294007973391i</v>
      </c>
    </row>
    <row r="222" spans="1:30" x14ac:dyDescent="0.2">
      <c r="A222" s="1"/>
      <c r="B222" s="23" t="s">
        <v>214</v>
      </c>
      <c r="C222" s="1"/>
      <c r="D222" s="19">
        <f>D216*SQRT(2)</f>
        <v>293.93876913398162</v>
      </c>
      <c r="E222" s="16" t="s">
        <v>215</v>
      </c>
      <c r="F222" s="20">
        <f>F216*SQRT(2)</f>
        <v>293.938769133981</v>
      </c>
      <c r="G222" s="16" t="s">
        <v>215</v>
      </c>
      <c r="H222" s="20">
        <f>H216*SQRT(2)</f>
        <v>293.93876913398162</v>
      </c>
      <c r="I222" s="16" t="s">
        <v>215</v>
      </c>
      <c r="J222" s="20">
        <f>J216*SQRT(2)</f>
        <v>293.93876913398162</v>
      </c>
      <c r="K222" s="16" t="s">
        <v>215</v>
      </c>
      <c r="L222" s="20">
        <f>L216*SQRT(2)</f>
        <v>293.938769133981</v>
      </c>
      <c r="M222" s="16" t="s">
        <v>215</v>
      </c>
      <c r="N222" s="20">
        <f>N216*SQRT(2)</f>
        <v>293.93876913398162</v>
      </c>
      <c r="O222" s="15" t="s">
        <v>215</v>
      </c>
      <c r="P222" s="1"/>
      <c r="V222" s="623"/>
      <c r="W222" t="str">
        <f>IF(D210="On",COMPLEX(-(D217*COS(RADIANS(30))),-(D217*SIN(RADIANS(30)))),COMPLEX(-(0*COS(RADIANS(30))),-(0*SIN(RADIANS(30)))))</f>
        <v>-11.5-6.63952809568069i</v>
      </c>
      <c r="X222" t="str">
        <f>IF(F210="On",COMPLEX(-(F217*COS(RADIANS(-90))),-(F217*SIN(RADIANS(-90)))),COMPLEX(-(0*COS(RADIANS(-90))),-(0*SIN(RADIANS(-90)))))</f>
        <v>-8.13440758774559E-16+13.2790561913614i</v>
      </c>
      <c r="Y222" t="str">
        <f>IF(H210="On",COMPLEX(-(H217*COS(RADIANS(150))),-(H217*SIN(RADIANS(150)))),COMPLEX(-(0*COS(RADIANS(150))),-(0*SIN(RADIANS(150)))))</f>
        <v>11.5-6.63952809568069i</v>
      </c>
      <c r="Z222" s="96" t="s">
        <v>308</v>
      </c>
      <c r="AA222" t="str">
        <f>IF(J210="On",COMPLEX(-(J217*COS(RADIANS(30))),-(J217*SIN(RADIANS(30)))),COMPLEX(-(0*COS(RADIANS(30))),-(0*SIN(RADIANS(30)))))</f>
        <v>-9.58333333333333-5.53294007973391i</v>
      </c>
      <c r="AB222" t="str">
        <f>IF(L210="On",COMPLEX(-(L217*COS(RADIANS(-90))),-(L217*SIN(RADIANS(-90)))),COMPLEX(-(0*COS(RADIANS(-90))),-(0*SIN(RADIANS(-90)))))</f>
        <v>-6.77867298978799E-16+11.0658801594678i</v>
      </c>
      <c r="AC222" t="str">
        <f>IF(N210="On",COMPLEX(-(N217*COS(RADIANS(150))),-(N217*SIN(RADIANS(150)))),COMPLEX(-(0*COS(RADIANS(150))),-(0*SIN(RADIANS(150)))))</f>
        <v>9.58333333333333-5.53294007973391i</v>
      </c>
    </row>
    <row r="223" spans="1:30" x14ac:dyDescent="0.2">
      <c r="A223" s="1"/>
      <c r="B223" s="23" t="s">
        <v>223</v>
      </c>
      <c r="C223" s="1"/>
      <c r="D223" s="12">
        <f>D219*D221</f>
        <v>17.468009596212834</v>
      </c>
      <c r="E223" s="16" t="s">
        <v>215</v>
      </c>
      <c r="F223" s="14">
        <f>F219*F221</f>
        <v>17.46800959621287</v>
      </c>
      <c r="G223" s="16" t="s">
        <v>215</v>
      </c>
      <c r="H223" s="14">
        <f>H219*H221</f>
        <v>17.468009596212834</v>
      </c>
      <c r="I223" s="16" t="s">
        <v>215</v>
      </c>
      <c r="J223" s="14">
        <f>J219*J221</f>
        <v>12.754419705171275</v>
      </c>
      <c r="K223" s="16" t="s">
        <v>215</v>
      </c>
      <c r="L223" s="14">
        <f>L219*L221</f>
        <v>12.754419705171303</v>
      </c>
      <c r="M223" s="16" t="s">
        <v>215</v>
      </c>
      <c r="N223" s="14">
        <f>N219*N221</f>
        <v>12.754419705171275</v>
      </c>
      <c r="O223" s="15" t="s">
        <v>215</v>
      </c>
      <c r="P223" s="1"/>
      <c r="V223" s="623"/>
      <c r="Z223" s="90" t="s">
        <v>305</v>
      </c>
    </row>
    <row r="224" spans="1:30" x14ac:dyDescent="0.2">
      <c r="A224" s="1"/>
      <c r="B224" s="23" t="s">
        <v>225</v>
      </c>
      <c r="C224" s="1"/>
      <c r="D224" s="19">
        <f>D222-D223</f>
        <v>276.4707595377688</v>
      </c>
      <c r="E224" s="16" t="s">
        <v>215</v>
      </c>
      <c r="F224" s="20">
        <f>F222-F223</f>
        <v>276.47075953776812</v>
      </c>
      <c r="G224" s="16" t="s">
        <v>215</v>
      </c>
      <c r="H224" s="20">
        <f>H222-H223</f>
        <v>276.4707595377688</v>
      </c>
      <c r="I224" s="16" t="s">
        <v>215</v>
      </c>
      <c r="J224" s="20">
        <f>J222-J223</f>
        <v>281.18434942881032</v>
      </c>
      <c r="K224" s="16" t="s">
        <v>215</v>
      </c>
      <c r="L224" s="20">
        <f>L222-L223</f>
        <v>281.1843494288097</v>
      </c>
      <c r="M224" s="16" t="s">
        <v>215</v>
      </c>
      <c r="N224" s="20">
        <f>N222-N223</f>
        <v>281.18434942881032</v>
      </c>
      <c r="O224" s="15" t="s">
        <v>215</v>
      </c>
      <c r="P224" s="1"/>
      <c r="Q224" s="571" t="s">
        <v>319</v>
      </c>
      <c r="S224" s="89"/>
      <c r="T224" s="90" t="s">
        <v>166</v>
      </c>
      <c r="U224" s="90" t="s">
        <v>167</v>
      </c>
      <c r="V224" s="90" t="s">
        <v>168</v>
      </c>
      <c r="W224" s="90"/>
      <c r="X224" s="89"/>
      <c r="Y224" s="90" t="s">
        <v>217</v>
      </c>
      <c r="Z224" s="90" t="s">
        <v>218</v>
      </c>
      <c r="AA224" s="90" t="s">
        <v>219</v>
      </c>
      <c r="AB224" s="90" t="s">
        <v>220</v>
      </c>
      <c r="AC224" s="90" t="s">
        <v>221</v>
      </c>
      <c r="AD224" s="90" t="s">
        <v>222</v>
      </c>
    </row>
    <row r="225" spans="1:30" ht="17" thickBot="1" x14ac:dyDescent="0.25">
      <c r="A225" s="1"/>
      <c r="B225" s="24" t="s">
        <v>227</v>
      </c>
      <c r="C225" s="1"/>
      <c r="D225" s="141">
        <f>(D223*100)/D222</f>
        <v>5.9427375462168648</v>
      </c>
      <c r="E225" s="21" t="str">
        <f>IF(D225&gt;Data!$AF$13,"&lt;OVER!","% V Pk")</f>
        <v>% V Pk</v>
      </c>
      <c r="F225" s="142">
        <f>(F223*100)/F222</f>
        <v>5.9427375462168888</v>
      </c>
      <c r="G225" s="21" t="str">
        <f>IF(F225&gt;Data!$AF$13,"&lt;OVER!","% V Pk")</f>
        <v>% V Pk</v>
      </c>
      <c r="H225" s="142">
        <f>(H223*100)/H222</f>
        <v>5.9427375462168648</v>
      </c>
      <c r="I225" s="21" t="str">
        <f>IF(H225&gt;Data!$AF$13,"&lt;OVER!","% V Pk")</f>
        <v>% V Pk</v>
      </c>
      <c r="J225" s="142">
        <f>(J223*100)/J222</f>
        <v>4.3391417004123136</v>
      </c>
      <c r="K225" s="21" t="str">
        <f>IF(J225&gt;Data!$AF$13,"&lt;OVER!","% V Pk")</f>
        <v>% V Pk</v>
      </c>
      <c r="L225" s="142">
        <f>(L223*100)/L222</f>
        <v>4.3391417004123323</v>
      </c>
      <c r="M225" s="21" t="str">
        <f>IF(L225&gt;Data!$AF$13,"&lt;OVER!","% V Pk")</f>
        <v>% V Pk</v>
      </c>
      <c r="N225" s="142">
        <f>(N223*100)/N222</f>
        <v>4.3391417004123136</v>
      </c>
      <c r="O225" s="22" t="str">
        <f>IF(N225&gt;Data!$AF$13,"&lt;OVER!","% V Pk")</f>
        <v>% V Pk</v>
      </c>
      <c r="P225" s="1"/>
      <c r="Q225" s="571"/>
      <c r="S225" s="89" t="s">
        <v>224</v>
      </c>
      <c r="T225" s="90">
        <f>Data!$AF$6</f>
        <v>30</v>
      </c>
      <c r="U225" s="90">
        <f>Data!$AF$6</f>
        <v>30</v>
      </c>
      <c r="V225" s="90">
        <f>Data!$AF$6</f>
        <v>30</v>
      </c>
      <c r="W225" s="90"/>
      <c r="X225" s="89" t="s">
        <v>224</v>
      </c>
      <c r="Y225" s="90">
        <f>Data!$AF$7</f>
        <v>20</v>
      </c>
      <c r="Z225" s="90">
        <f>Data!$AF$7</f>
        <v>20</v>
      </c>
      <c r="AA225" s="90">
        <f>Data!$AF$7</f>
        <v>20</v>
      </c>
      <c r="AB225" s="90">
        <f>Data!$AF$7</f>
        <v>20</v>
      </c>
      <c r="AC225" s="90">
        <f>Data!$AF$7</f>
        <v>20</v>
      </c>
      <c r="AD225" s="90">
        <f>Data!$AF$7</f>
        <v>20</v>
      </c>
    </row>
    <row r="226" spans="1:30" x14ac:dyDescent="0.2">
      <c r="A226" s="1"/>
      <c r="B226" s="1"/>
      <c r="C226" s="1"/>
      <c r="D226" s="1"/>
      <c r="E226" s="1"/>
      <c r="F226" s="1"/>
      <c r="G226" s="1"/>
      <c r="H226" s="1"/>
      <c r="I226" s="1"/>
      <c r="J226" s="1"/>
      <c r="K226" s="1"/>
      <c r="L226" s="1"/>
      <c r="M226" s="1"/>
      <c r="N226" s="1"/>
      <c r="O226" s="1"/>
      <c r="P226" s="1"/>
      <c r="Q226" s="571"/>
      <c r="S226" s="89" t="s">
        <v>312</v>
      </c>
      <c r="T226" s="90">
        <f>Data!$AG$6</f>
        <v>24</v>
      </c>
      <c r="U226" s="90">
        <f>Data!$AG$6</f>
        <v>24</v>
      </c>
      <c r="V226" s="90">
        <f>Data!$AG$6</f>
        <v>24</v>
      </c>
      <c r="W226" s="90"/>
      <c r="X226" s="89" t="s">
        <v>312</v>
      </c>
      <c r="Y226" s="90">
        <f>Data!$AG$7</f>
        <v>16</v>
      </c>
      <c r="Z226" s="90">
        <f>Data!$AG$7</f>
        <v>16</v>
      </c>
      <c r="AA226" s="90">
        <f>Data!$AG$7</f>
        <v>16</v>
      </c>
      <c r="AB226" s="90">
        <f>Data!$AG$7</f>
        <v>16</v>
      </c>
      <c r="AC226" s="90">
        <f>Data!$AG$7</f>
        <v>16</v>
      </c>
      <c r="AD226" s="90">
        <f>Data!$AG$7</f>
        <v>16</v>
      </c>
    </row>
    <row r="227" spans="1:30" x14ac:dyDescent="0.2">
      <c r="A227" s="1"/>
      <c r="B227" s="1"/>
      <c r="C227" s="1"/>
      <c r="D227" s="1"/>
      <c r="E227" s="1"/>
      <c r="F227" s="1"/>
      <c r="G227" s="1"/>
      <c r="H227" s="1"/>
      <c r="I227" s="1"/>
      <c r="J227" s="1"/>
      <c r="K227" s="1"/>
      <c r="L227" s="1"/>
      <c r="M227" s="1"/>
      <c r="N227" s="1"/>
      <c r="O227" s="1"/>
      <c r="P227" s="1"/>
      <c r="Q227" s="571"/>
      <c r="S227" s="89" t="str">
        <f>'US MDM-5000'!B205</f>
        <v>MLTC A RMS</v>
      </c>
      <c r="T227" s="90">
        <f>'US MDM-5000'!D205</f>
        <v>23</v>
      </c>
      <c r="U227" s="90">
        <f>'US MDM-5000'!F205</f>
        <v>23.000000000000014</v>
      </c>
      <c r="V227" s="90">
        <f>'US MDM-5000'!H205</f>
        <v>19.166666666666629</v>
      </c>
      <c r="W227" s="90"/>
      <c r="X227" s="89" t="s">
        <v>226</v>
      </c>
      <c r="Y227" s="90">
        <f>Data!$AF$8</f>
        <v>80</v>
      </c>
      <c r="Z227" s="90">
        <f>Data!$AF$8</f>
        <v>80</v>
      </c>
      <c r="AA227" s="90">
        <f>Data!$AF$8</f>
        <v>80</v>
      </c>
      <c r="AB227" s="90">
        <f>Data!$AF$8</f>
        <v>80</v>
      </c>
      <c r="AC227" s="90">
        <f>Data!$AF$8</f>
        <v>80</v>
      </c>
      <c r="AD227" s="90">
        <f>Data!$AF$8</f>
        <v>80</v>
      </c>
    </row>
    <row r="228" spans="1:30" x14ac:dyDescent="0.2">
      <c r="A228" s="1"/>
      <c r="B228" s="1"/>
      <c r="C228" s="1"/>
      <c r="D228" s="1"/>
      <c r="E228" s="1"/>
      <c r="F228" s="1"/>
      <c r="G228" s="1"/>
      <c r="H228" s="1"/>
      <c r="I228" s="1"/>
      <c r="J228" s="1"/>
      <c r="K228" s="1"/>
      <c r="L228" s="1"/>
      <c r="M228" s="1"/>
      <c r="N228" s="1"/>
      <c r="O228" s="1"/>
      <c r="P228" s="1"/>
      <c r="Q228" s="571"/>
      <c r="S228" s="89" t="str">
        <f>'US MDM-5000'!B206</f>
        <v>Apparent Power</v>
      </c>
      <c r="T228" s="90">
        <f>'US MDM-5000'!D206</f>
        <v>4231.9999999999918</v>
      </c>
      <c r="U228" s="90">
        <f>'US MDM-5000'!F206</f>
        <v>4231.9999999999973</v>
      </c>
      <c r="V228" s="90">
        <f>'US MDM-5000'!H206</f>
        <v>4323.9999999999945</v>
      </c>
      <c r="W228" s="90"/>
      <c r="X228" s="89" t="str">
        <f>'US MDM-5000'!B217</f>
        <v>MLTC RMS</v>
      </c>
      <c r="Y228" s="91">
        <f>'US MDM-5000'!$D217</f>
        <v>13.279056191361381</v>
      </c>
      <c r="Z228" s="91">
        <f>'US MDM-5000'!F217</f>
        <v>13.279056191361409</v>
      </c>
      <c r="AA228" s="90">
        <f>'US MDM-5000'!H217</f>
        <v>13.279056191361381</v>
      </c>
      <c r="AB228" s="90">
        <f>'US MDM-5000'!J217</f>
        <v>11.065880159467818</v>
      </c>
      <c r="AC228" s="90">
        <f>'US MDM-5000'!L217</f>
        <v>11.065880159467842</v>
      </c>
      <c r="AD228" s="90">
        <f>'US MDM-5000'!N217</f>
        <v>11.065880159467818</v>
      </c>
    </row>
    <row r="229" spans="1:30" x14ac:dyDescent="0.2">
      <c r="A229" s="1"/>
      <c r="B229" s="1"/>
      <c r="C229" s="1"/>
      <c r="D229" s="1"/>
      <c r="E229" s="1"/>
      <c r="F229" s="1"/>
      <c r="G229" s="1"/>
      <c r="H229" s="1"/>
      <c r="I229" s="1"/>
      <c r="J229" s="1"/>
      <c r="K229" s="1"/>
      <c r="L229" s="1"/>
      <c r="M229" s="1"/>
      <c r="N229" s="1"/>
      <c r="O229" s="1"/>
      <c r="P229" s="1"/>
      <c r="Q229" s="571"/>
      <c r="S229" s="89" t="str">
        <f>'US MDM-5000'!B207</f>
        <v>Real Power</v>
      </c>
      <c r="T229" s="90">
        <f>'US MDM-5000'!D207</f>
        <v>2760</v>
      </c>
      <c r="U229" s="90">
        <f>'US MDM-5000'!F207</f>
        <v>2760.0000000000018</v>
      </c>
      <c r="V229" s="90">
        <f>'US MDM-5000'!H207</f>
        <v>2299.9999999999955</v>
      </c>
      <c r="W229" s="90"/>
      <c r="X229" s="89" t="str">
        <f>'US MDM-5000'!B218</f>
        <v>Burst RMS</v>
      </c>
      <c r="Y229" s="90">
        <f>'US MDM-5000'!D218</f>
        <v>20.361219493420784</v>
      </c>
      <c r="Z229" s="90">
        <f>'US MDM-5000'!F218</f>
        <v>20.36121949342083</v>
      </c>
      <c r="AA229" s="90">
        <f>'US MDM-5000'!H218</f>
        <v>20.361219493420784</v>
      </c>
      <c r="AB229" s="90">
        <f>'US MDM-5000'!J218</f>
        <v>20.803854699799498</v>
      </c>
      <c r="AC229" s="90">
        <f>'US MDM-5000'!L218</f>
        <v>20.803854699799544</v>
      </c>
      <c r="AD229" s="90">
        <f>'US MDM-5000'!N218</f>
        <v>20.803854699799498</v>
      </c>
    </row>
    <row r="230" spans="1:30" x14ac:dyDescent="0.2">
      <c r="A230" s="1"/>
      <c r="B230" s="1"/>
      <c r="C230" s="1"/>
      <c r="D230" s="1"/>
      <c r="E230" s="1"/>
      <c r="F230" s="1"/>
      <c r="G230" s="1"/>
      <c r="H230" s="1"/>
      <c r="I230" s="1"/>
      <c r="J230" s="1"/>
      <c r="K230" s="1"/>
      <c r="L230" s="1"/>
      <c r="M230" s="1"/>
      <c r="N230" s="1"/>
      <c r="O230" s="1"/>
      <c r="P230" s="1"/>
      <c r="Q230" s="571"/>
      <c r="S230" s="89"/>
      <c r="T230" s="90"/>
      <c r="U230" s="90"/>
      <c r="V230" s="90"/>
      <c r="W230" s="90"/>
      <c r="X230" s="89" t="str">
        <f>'US MDM-5000'!B219</f>
        <v>Max Inst Pk</v>
      </c>
      <c r="Y230" s="90">
        <f>'US MDM-5000'!D219</f>
        <v>55.772036003717801</v>
      </c>
      <c r="Z230" s="90">
        <f>'US MDM-5000'!F219</f>
        <v>55.772036003717922</v>
      </c>
      <c r="AA230" s="90">
        <f>'US MDM-5000'!H219</f>
        <v>55.772036003717801</v>
      </c>
      <c r="AB230" s="90">
        <f>'US MDM-5000'!J219</f>
        <v>40.722438986841567</v>
      </c>
      <c r="AC230" s="90">
        <f>'US MDM-5000'!L219</f>
        <v>40.722438986841659</v>
      </c>
      <c r="AD230" s="90">
        <f>'US MDM-5000'!N219</f>
        <v>40.722438986841567</v>
      </c>
    </row>
    <row r="231" spans="1:30" x14ac:dyDescent="0.2">
      <c r="A231" s="1"/>
      <c r="B231" s="1"/>
      <c r="C231" s="1"/>
      <c r="D231" s="1"/>
      <c r="E231" s="1"/>
      <c r="F231" s="1"/>
      <c r="G231" s="1"/>
      <c r="H231" s="1"/>
      <c r="I231" s="1"/>
      <c r="J231" s="1"/>
      <c r="K231" s="1"/>
      <c r="L231" s="1"/>
      <c r="M231" s="1"/>
      <c r="N231" s="1"/>
      <c r="O231" s="1"/>
      <c r="P231" s="1"/>
      <c r="Q231" s="571"/>
      <c r="S231" s="89"/>
      <c r="T231" s="90"/>
      <c r="U231" s="90"/>
      <c r="V231" s="90"/>
      <c r="W231" s="90"/>
      <c r="X231" s="89"/>
      <c r="Y231" s="90"/>
      <c r="Z231" s="90"/>
      <c r="AA231" s="90"/>
      <c r="AB231" s="90"/>
      <c r="AC231" s="90"/>
      <c r="AD231" s="90"/>
    </row>
    <row r="232" spans="1:30" x14ac:dyDescent="0.2">
      <c r="A232" s="1"/>
      <c r="B232" s="1"/>
      <c r="C232" s="1"/>
      <c r="D232" s="1"/>
      <c r="E232" s="1"/>
      <c r="F232" s="1"/>
      <c r="G232" s="1"/>
      <c r="H232" s="1"/>
      <c r="I232" s="1"/>
      <c r="J232" s="1"/>
      <c r="K232" s="1"/>
      <c r="L232" s="1"/>
      <c r="M232" s="1"/>
      <c r="N232" s="1"/>
      <c r="O232" s="1"/>
      <c r="P232" s="1"/>
      <c r="Q232" s="571"/>
      <c r="S232" s="89" t="s">
        <v>228</v>
      </c>
      <c r="T232" s="90">
        <f>IF(T227&lt;=T226,(100*T227)/T225,100*T226/T225)</f>
        <v>76.666666666666671</v>
      </c>
      <c r="U232" s="90">
        <f>IF(U227&lt;=U226,(100*U227)/U225,100*U226/U225)</f>
        <v>76.666666666666714</v>
      </c>
      <c r="V232" s="90">
        <f>IF(V227&lt;=V226,(100*V227)/V225,100*V226/V225)</f>
        <v>63.888888888888765</v>
      </c>
      <c r="W232" s="90"/>
      <c r="X232" s="89" t="s">
        <v>228</v>
      </c>
      <c r="Y232" s="90">
        <f t="shared" ref="Y232:AD232" si="37">IF(Y228&lt;=Y226,(100*Y228)/Y225,100*Y226/Y225)</f>
        <v>66.3952809568069</v>
      </c>
      <c r="Z232" s="90">
        <f t="shared" si="37"/>
        <v>66.395280956807056</v>
      </c>
      <c r="AA232" s="90">
        <f t="shared" si="37"/>
        <v>66.3952809568069</v>
      </c>
      <c r="AB232" s="90">
        <f t="shared" si="37"/>
        <v>55.32940079733909</v>
      </c>
      <c r="AC232" s="90">
        <f t="shared" si="37"/>
        <v>55.329400797339211</v>
      </c>
      <c r="AD232" s="90">
        <f t="shared" si="37"/>
        <v>55.32940079733909</v>
      </c>
    </row>
    <row r="233" spans="1:30" x14ac:dyDescent="0.2">
      <c r="A233" s="1"/>
      <c r="B233" s="1"/>
      <c r="C233" s="1"/>
      <c r="D233" s="1"/>
      <c r="E233" s="1"/>
      <c r="F233" s="1"/>
      <c r="G233" s="1"/>
      <c r="H233" s="1"/>
      <c r="I233" s="1"/>
      <c r="J233" s="1"/>
      <c r="K233" s="1"/>
      <c r="L233" s="1"/>
      <c r="M233" s="1"/>
      <c r="N233" s="1"/>
      <c r="O233" s="1"/>
      <c r="P233" s="1"/>
      <c r="Q233" s="571"/>
      <c r="S233" s="89" t="s">
        <v>313</v>
      </c>
      <c r="T233">
        <f>IF(T227&lt;=T226,0,((100*T227)/T225)-T232)</f>
        <v>0</v>
      </c>
      <c r="U233">
        <f>IF(U227&lt;=U226,0,((100*U227)/U225)-U232)</f>
        <v>0</v>
      </c>
      <c r="V233">
        <f>IF(V227&lt;=V226,0,((100*V227)/V225)-V232)</f>
        <v>0</v>
      </c>
      <c r="W233" s="90"/>
      <c r="X233" s="89" t="s">
        <v>313</v>
      </c>
      <c r="Y233" s="90">
        <f t="shared" ref="Y233:AD233" si="38">IF(Y228&lt;=Y226,0,((100*Y228)/Y225)-Y232)</f>
        <v>0</v>
      </c>
      <c r="Z233" s="90">
        <f t="shared" si="38"/>
        <v>0</v>
      </c>
      <c r="AA233" s="90">
        <f t="shared" si="38"/>
        <v>0</v>
      </c>
      <c r="AB233" s="90">
        <f t="shared" si="38"/>
        <v>0</v>
      </c>
      <c r="AC233" s="90">
        <f t="shared" si="38"/>
        <v>0</v>
      </c>
      <c r="AD233" s="90">
        <f t="shared" si="38"/>
        <v>0</v>
      </c>
    </row>
    <row r="234" spans="1:30" x14ac:dyDescent="0.2">
      <c r="A234" s="1"/>
      <c r="B234" s="1"/>
      <c r="C234" s="1"/>
      <c r="D234" s="1"/>
      <c r="E234" s="1"/>
      <c r="F234" s="1"/>
      <c r="G234" s="1"/>
      <c r="H234" s="1"/>
      <c r="I234" s="1"/>
      <c r="J234" s="1"/>
      <c r="K234" s="1"/>
      <c r="L234" s="1"/>
      <c r="M234" s="1"/>
      <c r="N234" s="1"/>
      <c r="O234" s="1"/>
      <c r="P234" s="1"/>
      <c r="Q234" s="571"/>
      <c r="S234" s="89" t="s">
        <v>229</v>
      </c>
      <c r="T234" s="90">
        <f>(T232+T233)-100</f>
        <v>-23.333333333333329</v>
      </c>
      <c r="U234" s="90">
        <f>(U232+U233)-100</f>
        <v>-23.333333333333286</v>
      </c>
      <c r="V234" s="90">
        <f>(V232+V233)-100</f>
        <v>-36.111111111111235</v>
      </c>
      <c r="W234" s="90"/>
      <c r="X234" s="89" t="s">
        <v>229</v>
      </c>
      <c r="Y234" s="90">
        <f t="shared" ref="Y234:AD234" si="39">(Y232+Y233)-100</f>
        <v>-33.6047190431931</v>
      </c>
      <c r="Z234" s="90">
        <f t="shared" si="39"/>
        <v>-33.604719043192944</v>
      </c>
      <c r="AA234" s="90">
        <f t="shared" si="39"/>
        <v>-33.6047190431931</v>
      </c>
      <c r="AB234" s="90">
        <f t="shared" si="39"/>
        <v>-44.67059920266091</v>
      </c>
      <c r="AC234" s="90">
        <f t="shared" si="39"/>
        <v>-44.670599202660789</v>
      </c>
      <c r="AD234" s="90">
        <f t="shared" si="39"/>
        <v>-44.67059920266091</v>
      </c>
    </row>
    <row r="235" spans="1:30" x14ac:dyDescent="0.2">
      <c r="A235" s="1"/>
      <c r="B235" s="1"/>
      <c r="C235" s="1"/>
      <c r="D235" s="1"/>
      <c r="E235" s="1"/>
      <c r="F235" s="1"/>
      <c r="G235" s="1"/>
      <c r="H235" s="1"/>
      <c r="I235" s="1"/>
      <c r="J235" s="1"/>
      <c r="K235" s="1"/>
      <c r="L235" s="1"/>
      <c r="M235" s="1"/>
      <c r="N235" s="1"/>
      <c r="O235" s="1"/>
      <c r="P235" s="1"/>
      <c r="Q235" s="571"/>
      <c r="S235" s="89" t="s">
        <v>314</v>
      </c>
      <c r="T235">
        <f>IF(T233=0,0,IF(T233&gt;100-T232,100-T232,T233))</f>
        <v>0</v>
      </c>
      <c r="U235">
        <f>IF(U233=0,0,IF(U233&gt;100-U232,100-U232,U233))</f>
        <v>0</v>
      </c>
      <c r="V235">
        <f>IF(V233=0,0,IF(V233&gt;100-V232,100-V232,V233))</f>
        <v>0</v>
      </c>
      <c r="W235" s="90"/>
      <c r="X235" s="89" t="s">
        <v>314</v>
      </c>
      <c r="Y235" s="90">
        <f t="shared" ref="Y235:AD235" si="40">IF(Y233=0,0,IF(Y233&gt;100-Y232,100-Y232,Y233))</f>
        <v>0</v>
      </c>
      <c r="Z235" s="90">
        <f t="shared" si="40"/>
        <v>0</v>
      </c>
      <c r="AA235" s="90">
        <f t="shared" si="40"/>
        <v>0</v>
      </c>
      <c r="AB235" s="90">
        <f t="shared" si="40"/>
        <v>0</v>
      </c>
      <c r="AC235" s="90">
        <f t="shared" si="40"/>
        <v>0</v>
      </c>
      <c r="AD235" s="90">
        <f t="shared" si="40"/>
        <v>0</v>
      </c>
    </row>
    <row r="236" spans="1:30" x14ac:dyDescent="0.2">
      <c r="A236" s="1"/>
      <c r="B236" s="1"/>
      <c r="C236" s="1"/>
      <c r="D236" s="1"/>
      <c r="E236" s="1"/>
      <c r="F236" s="1"/>
      <c r="G236" s="1"/>
      <c r="H236" s="1"/>
      <c r="I236" s="1"/>
      <c r="J236" s="1"/>
      <c r="K236" s="1"/>
      <c r="L236" s="1"/>
      <c r="M236" s="1"/>
      <c r="N236" s="1"/>
      <c r="O236" s="1"/>
      <c r="P236" s="1"/>
      <c r="Q236" s="571"/>
      <c r="S236" s="89" t="s">
        <v>231</v>
      </c>
      <c r="T236" s="90" t="e">
        <f>IF(T232+T233&gt;100,(T232+T233)-(T235+T232),NA())</f>
        <v>#N/A</v>
      </c>
      <c r="U236" s="90" t="e">
        <f>IF(U232+U233&gt;100,(U232+U233)-(U235+U232),NA())</f>
        <v>#N/A</v>
      </c>
      <c r="V236" s="90" t="e">
        <f>IF(V232+V233&gt;100,(V232+V233)-(V235+V232),NA())</f>
        <v>#N/A</v>
      </c>
      <c r="W236" s="90"/>
      <c r="X236" s="89" t="s">
        <v>231</v>
      </c>
      <c r="Y236" s="90" t="e">
        <f t="shared" ref="Y236:AD236" si="41">IF(Y232+Y233&gt;100,(Y232+Y233)-(Y235+Y232),NA())</f>
        <v>#N/A</v>
      </c>
      <c r="Z236" s="90" t="e">
        <f t="shared" si="41"/>
        <v>#N/A</v>
      </c>
      <c r="AA236" s="90" t="e">
        <f t="shared" si="41"/>
        <v>#N/A</v>
      </c>
      <c r="AB236" s="90" t="e">
        <f t="shared" si="41"/>
        <v>#N/A</v>
      </c>
      <c r="AC236" s="90" t="e">
        <f t="shared" si="41"/>
        <v>#N/A</v>
      </c>
      <c r="AD236" s="90" t="e">
        <f t="shared" si="41"/>
        <v>#N/A</v>
      </c>
    </row>
    <row r="237" spans="1:30" x14ac:dyDescent="0.2">
      <c r="A237" s="1"/>
      <c r="B237" s="1"/>
      <c r="C237" s="1"/>
      <c r="D237" s="1"/>
      <c r="E237" s="1"/>
      <c r="F237" s="1"/>
      <c r="G237" s="1"/>
      <c r="H237" s="1"/>
      <c r="I237" s="1"/>
      <c r="J237" s="1"/>
      <c r="K237" s="1"/>
      <c r="L237" s="1"/>
      <c r="M237" s="1"/>
      <c r="N237" s="1"/>
      <c r="O237" s="1"/>
      <c r="P237" s="1"/>
      <c r="Q237" s="571"/>
      <c r="S237" s="89"/>
      <c r="W237" s="90"/>
      <c r="X237" s="89" t="s">
        <v>232</v>
      </c>
      <c r="Y237" s="90">
        <f>Data!$AF$13</f>
        <v>10</v>
      </c>
      <c r="Z237" s="90">
        <f>Data!$AF$13</f>
        <v>10</v>
      </c>
      <c r="AA237" s="90">
        <f>Data!$AF$13</f>
        <v>10</v>
      </c>
      <c r="AB237" s="90">
        <f>Data!$AF$13</f>
        <v>10</v>
      </c>
      <c r="AC237" s="90">
        <f>Data!$AF$13</f>
        <v>10</v>
      </c>
      <c r="AD237" s="90">
        <f>Data!$AF$13</f>
        <v>10</v>
      </c>
    </row>
    <row r="238" spans="1:30" x14ac:dyDescent="0.2">
      <c r="A238" s="1"/>
      <c r="B238" s="1"/>
      <c r="C238" s="1"/>
      <c r="D238" s="1"/>
      <c r="E238" s="1"/>
      <c r="F238" s="1"/>
      <c r="G238" s="1"/>
      <c r="H238" s="1"/>
      <c r="I238" s="1"/>
      <c r="J238" s="1"/>
      <c r="K238" s="1"/>
      <c r="L238" s="1"/>
      <c r="M238" s="1"/>
      <c r="N238" s="1"/>
      <c r="O238" s="1"/>
      <c r="P238" s="1"/>
      <c r="Q238" s="571"/>
      <c r="S238" s="89"/>
      <c r="T238" s="90"/>
      <c r="U238" s="90"/>
      <c r="V238" s="90"/>
      <c r="W238" s="90"/>
      <c r="X238" s="89" t="s">
        <v>233</v>
      </c>
      <c r="Y238" s="92">
        <f>'US MDM-5000'!D225</f>
        <v>5.9427375462168648</v>
      </c>
      <c r="Z238" s="92">
        <f>'US MDM-5000'!F225</f>
        <v>5.9427375462168888</v>
      </c>
      <c r="AA238" s="92">
        <f>'US MDM-5000'!H225</f>
        <v>5.9427375462168648</v>
      </c>
      <c r="AB238" s="92">
        <f>'US MDM-5000'!J225</f>
        <v>4.3391417004123136</v>
      </c>
      <c r="AC238" s="92">
        <f>'US MDM-5000'!L225</f>
        <v>4.3391417004123323</v>
      </c>
      <c r="AD238" s="92">
        <f>'US MDM-5000'!N225</f>
        <v>4.3391417004123136</v>
      </c>
    </row>
    <row r="239" spans="1:30" x14ac:dyDescent="0.2">
      <c r="A239" s="1"/>
      <c r="B239" s="1"/>
      <c r="C239" s="1"/>
      <c r="D239" s="1"/>
      <c r="E239" s="1"/>
      <c r="F239" s="1"/>
      <c r="G239" s="1"/>
      <c r="H239" s="1"/>
      <c r="I239" s="1"/>
      <c r="J239" s="1"/>
      <c r="K239" s="1"/>
      <c r="L239" s="1"/>
      <c r="M239" s="1"/>
      <c r="N239" s="1"/>
      <c r="O239" s="1"/>
      <c r="P239" s="1"/>
      <c r="Q239" s="571"/>
      <c r="S239" s="89"/>
      <c r="T239" s="90"/>
      <c r="U239" s="90"/>
      <c r="V239" s="90"/>
      <c r="W239" s="90"/>
      <c r="X239" s="89" t="s">
        <v>234</v>
      </c>
      <c r="Y239" s="90">
        <f t="shared" ref="Y239:AD239" si="42">IF(-Y238&gt;-Y237,-Y238,-Y237)</f>
        <v>-5.9427375462168648</v>
      </c>
      <c r="Z239" s="90">
        <f t="shared" si="42"/>
        <v>-5.9427375462168888</v>
      </c>
      <c r="AA239" s="90">
        <f t="shared" si="42"/>
        <v>-5.9427375462168648</v>
      </c>
      <c r="AB239" s="90">
        <f t="shared" si="42"/>
        <v>-4.3391417004123136</v>
      </c>
      <c r="AC239" s="90">
        <f t="shared" si="42"/>
        <v>-4.3391417004123323</v>
      </c>
      <c r="AD239" s="90">
        <f t="shared" si="42"/>
        <v>-4.3391417004123136</v>
      </c>
    </row>
    <row r="240" spans="1:30" x14ac:dyDescent="0.2">
      <c r="A240" s="1"/>
      <c r="B240" s="71" t="str">
        <f>Data!$T$1</f>
        <v>Meyer Sound Laboratories, Inc. Berkeley, California, USA                                 www.meyersound.com</v>
      </c>
      <c r="C240" s="1"/>
      <c r="D240" s="1"/>
      <c r="E240" s="1"/>
      <c r="F240" s="1"/>
      <c r="G240" s="1"/>
      <c r="H240" s="1"/>
      <c r="I240" s="1"/>
      <c r="J240" s="1"/>
      <c r="K240" s="1"/>
      <c r="L240" s="1"/>
      <c r="M240" s="1"/>
      <c r="N240" s="1"/>
      <c r="O240" s="1"/>
      <c r="P240" s="392" t="str">
        <f>Data!$G$1</f>
        <v>© 2021</v>
      </c>
      <c r="Q240" s="571"/>
      <c r="S240" s="89"/>
      <c r="T240" s="90"/>
      <c r="U240" s="90"/>
      <c r="V240" s="90"/>
      <c r="W240" s="90"/>
      <c r="X240" s="89" t="s">
        <v>235</v>
      </c>
      <c r="Y240" s="90" t="e">
        <f t="shared" ref="Y240:AD240" si="43">IF(-Y238&gt;-Y237,NA(),-Y238+Y237)</f>
        <v>#N/A</v>
      </c>
      <c r="Z240" s="90" t="e">
        <f t="shared" si="43"/>
        <v>#N/A</v>
      </c>
      <c r="AA240" s="90" t="e">
        <f t="shared" si="43"/>
        <v>#N/A</v>
      </c>
      <c r="AB240" s="90" t="e">
        <f t="shared" si="43"/>
        <v>#N/A</v>
      </c>
      <c r="AC240" s="90" t="e">
        <f t="shared" si="43"/>
        <v>#N/A</v>
      </c>
      <c r="AD240" s="90" t="e">
        <f t="shared" si="43"/>
        <v>#N/A</v>
      </c>
    </row>
  </sheetData>
  <sheetProtection algorithmName="SHA-512" hashValue="nY4tgP09coFVZJ9h+OIaFgQTYczHne5wct5qt+MUPMhc0SqgSnCEoOBvYXQ6KDzfAlHWDgyJBdG7zXlecnfMyA==" saltValue="O/OobiSLLmvIst5QdBT6NQ==" spinCount="100000" sheet="1" objects="1" scenarios="1" selectLockedCells="1"/>
  <customSheetViews>
    <customSheetView guid="{638DA5E6-5C83-F34B-A013-9937D26CA5CB}" scale="74" topLeftCell="A18">
      <selection activeCell="W49" sqref="W49"/>
    </customSheetView>
  </customSheetViews>
  <mergeCells count="138">
    <mergeCell ref="D14:I14"/>
    <mergeCell ref="J14:O14"/>
    <mergeCell ref="O5:O7"/>
    <mergeCell ref="D9:E9"/>
    <mergeCell ref="F9:G9"/>
    <mergeCell ref="H9:I9"/>
    <mergeCell ref="J9:K9"/>
    <mergeCell ref="L9:M9"/>
    <mergeCell ref="M5:N7"/>
    <mergeCell ref="D10:E10"/>
    <mergeCell ref="F10:G10"/>
    <mergeCell ref="H10:I10"/>
    <mergeCell ref="J10:K10"/>
    <mergeCell ref="J54:O54"/>
    <mergeCell ref="L10:M10"/>
    <mergeCell ref="V56:V58"/>
    <mergeCell ref="V59:V63"/>
    <mergeCell ref="Q64:Q80"/>
    <mergeCell ref="V2:V5"/>
    <mergeCell ref="V6:V9"/>
    <mergeCell ref="V11:V12"/>
    <mergeCell ref="V16:V18"/>
    <mergeCell ref="V19:V23"/>
    <mergeCell ref="Q24:Q40"/>
    <mergeCell ref="K42:L42"/>
    <mergeCell ref="V42:V45"/>
    <mergeCell ref="M45:N47"/>
    <mergeCell ref="O45:O47"/>
    <mergeCell ref="V46:V49"/>
    <mergeCell ref="J49:K49"/>
    <mergeCell ref="N10:O10"/>
    <mergeCell ref="K2:L2"/>
    <mergeCell ref="N9:O9"/>
    <mergeCell ref="D89:E89"/>
    <mergeCell ref="F89:G89"/>
    <mergeCell ref="H89:I89"/>
    <mergeCell ref="J89:K89"/>
    <mergeCell ref="L89:M89"/>
    <mergeCell ref="L49:M49"/>
    <mergeCell ref="N49:O49"/>
    <mergeCell ref="K82:L82"/>
    <mergeCell ref="V82:V85"/>
    <mergeCell ref="M85:N87"/>
    <mergeCell ref="O85:O87"/>
    <mergeCell ref="V86:V89"/>
    <mergeCell ref="N89:O89"/>
    <mergeCell ref="D49:E49"/>
    <mergeCell ref="F49:G49"/>
    <mergeCell ref="H49:I49"/>
    <mergeCell ref="D50:E50"/>
    <mergeCell ref="F50:G50"/>
    <mergeCell ref="H50:I50"/>
    <mergeCell ref="J50:K50"/>
    <mergeCell ref="L50:M50"/>
    <mergeCell ref="N50:O50"/>
    <mergeCell ref="V51:V52"/>
    <mergeCell ref="D54:I54"/>
    <mergeCell ref="N90:O90"/>
    <mergeCell ref="V91:V92"/>
    <mergeCell ref="D94:I94"/>
    <mergeCell ref="J94:O94"/>
    <mergeCell ref="V96:V98"/>
    <mergeCell ref="D90:E90"/>
    <mergeCell ref="F90:G90"/>
    <mergeCell ref="H90:I90"/>
    <mergeCell ref="J90:K90"/>
    <mergeCell ref="L90:M90"/>
    <mergeCell ref="D129:E129"/>
    <mergeCell ref="F129:G129"/>
    <mergeCell ref="H129:I129"/>
    <mergeCell ref="J129:K129"/>
    <mergeCell ref="L129:M129"/>
    <mergeCell ref="V99:V103"/>
    <mergeCell ref="Q104:Q120"/>
    <mergeCell ref="K122:L122"/>
    <mergeCell ref="V122:V125"/>
    <mergeCell ref="M125:N127"/>
    <mergeCell ref="O125:O127"/>
    <mergeCell ref="V126:V129"/>
    <mergeCell ref="N129:O129"/>
    <mergeCell ref="N130:O130"/>
    <mergeCell ref="V131:V132"/>
    <mergeCell ref="D134:I134"/>
    <mergeCell ref="J134:O134"/>
    <mergeCell ref="V136:V138"/>
    <mergeCell ref="D130:E130"/>
    <mergeCell ref="F130:G130"/>
    <mergeCell ref="H130:I130"/>
    <mergeCell ref="J130:K130"/>
    <mergeCell ref="L130:M130"/>
    <mergeCell ref="D169:E169"/>
    <mergeCell ref="F169:G169"/>
    <mergeCell ref="H169:I169"/>
    <mergeCell ref="J169:K169"/>
    <mergeCell ref="L169:M169"/>
    <mergeCell ref="V139:V143"/>
    <mergeCell ref="Q144:Q160"/>
    <mergeCell ref="K162:L162"/>
    <mergeCell ref="V162:V165"/>
    <mergeCell ref="M165:N167"/>
    <mergeCell ref="O165:O167"/>
    <mergeCell ref="V166:V169"/>
    <mergeCell ref="N169:O169"/>
    <mergeCell ref="N170:O170"/>
    <mergeCell ref="V171:V172"/>
    <mergeCell ref="D174:I174"/>
    <mergeCell ref="J174:O174"/>
    <mergeCell ref="V176:V178"/>
    <mergeCell ref="D170:E170"/>
    <mergeCell ref="F170:G170"/>
    <mergeCell ref="H170:I170"/>
    <mergeCell ref="J170:K170"/>
    <mergeCell ref="L170:M170"/>
    <mergeCell ref="D209:E209"/>
    <mergeCell ref="F209:G209"/>
    <mergeCell ref="H209:I209"/>
    <mergeCell ref="J209:K209"/>
    <mergeCell ref="L209:M209"/>
    <mergeCell ref="V179:V183"/>
    <mergeCell ref="Q184:Q200"/>
    <mergeCell ref="K202:L202"/>
    <mergeCell ref="V202:V205"/>
    <mergeCell ref="M205:N207"/>
    <mergeCell ref="O205:O207"/>
    <mergeCell ref="V206:V209"/>
    <mergeCell ref="N209:O209"/>
    <mergeCell ref="V219:V223"/>
    <mergeCell ref="Q224:Q240"/>
    <mergeCell ref="N210:O210"/>
    <mergeCell ref="V211:V212"/>
    <mergeCell ref="D214:I214"/>
    <mergeCell ref="J214:O214"/>
    <mergeCell ref="V216:V218"/>
    <mergeCell ref="D210:E210"/>
    <mergeCell ref="F210:G210"/>
    <mergeCell ref="H210:I210"/>
    <mergeCell ref="J210:K210"/>
    <mergeCell ref="L210:M210"/>
  </mergeCells>
  <phoneticPr fontId="5" type="noConversion"/>
  <conditionalFormatting sqref="M5">
    <cfRule type="expression" dxfId="64" priority="152">
      <formula>OR(AND($S$14&gt;0,$T$14&gt;0),$S$14&gt;0)</formula>
    </cfRule>
  </conditionalFormatting>
  <conditionalFormatting sqref="M5:N7">
    <cfRule type="expression" dxfId="63" priority="153">
      <formula>AND($S$14=0,$T$14&gt;0)</formula>
    </cfRule>
    <cfRule type="expression" dxfId="62" priority="154">
      <formula>$U$14=0</formula>
    </cfRule>
  </conditionalFormatting>
  <conditionalFormatting sqref="M45">
    <cfRule type="expression" dxfId="61" priority="53">
      <formula>OR(AND($S$54&gt;0,$T$54&gt;0),$S$54&gt;0)</formula>
    </cfRule>
  </conditionalFormatting>
  <conditionalFormatting sqref="M45:N47">
    <cfRule type="expression" dxfId="60" priority="54">
      <formula>AND($S$54=0,$T$54&gt;0)</formula>
    </cfRule>
    <cfRule type="expression" dxfId="59" priority="55">
      <formula>$U$54=0</formula>
    </cfRule>
  </conditionalFormatting>
  <conditionalFormatting sqref="M85">
    <cfRule type="expression" dxfId="58" priority="44">
      <formula>OR(AND($S$94&gt;0,$T$94&gt;0),$S$94&gt;0)</formula>
    </cfRule>
  </conditionalFormatting>
  <conditionalFormatting sqref="M85:N87">
    <cfRule type="expression" dxfId="57" priority="45">
      <formula>AND($S$94=0,$T$94&gt;0)</formula>
    </cfRule>
    <cfRule type="expression" dxfId="56" priority="46">
      <formula>$U$94=0</formula>
    </cfRule>
  </conditionalFormatting>
  <conditionalFormatting sqref="M125">
    <cfRule type="expression" dxfId="55" priority="35">
      <formula>OR(AND($S$134&gt;0,$T$134&gt;0),$S$134&gt;0)</formula>
    </cfRule>
  </conditionalFormatting>
  <conditionalFormatting sqref="M125:N127">
    <cfRule type="expression" dxfId="54" priority="36">
      <formula>AND($S$134=0,$T$134&gt;0)</formula>
    </cfRule>
    <cfRule type="expression" dxfId="53" priority="37">
      <formula>$U$134=0</formula>
    </cfRule>
  </conditionalFormatting>
  <conditionalFormatting sqref="M165">
    <cfRule type="expression" dxfId="52" priority="26">
      <formula>OR(AND($S$174&gt;0,$T$174&gt;0),$S$174&gt;0)</formula>
    </cfRule>
  </conditionalFormatting>
  <conditionalFormatting sqref="M165:N167">
    <cfRule type="expression" dxfId="51" priority="27">
      <formula>AND($S$174=0,$T$174&gt;0)</formula>
    </cfRule>
    <cfRule type="expression" dxfId="50" priority="28">
      <formula>$U$174=0</formula>
    </cfRule>
  </conditionalFormatting>
  <conditionalFormatting sqref="M205">
    <cfRule type="expression" dxfId="49" priority="17">
      <formula>OR(AND($S$214&gt;0,$T$214&gt;0),$S$214&gt;0)</formula>
    </cfRule>
  </conditionalFormatting>
  <conditionalFormatting sqref="M205:N207">
    <cfRule type="expression" dxfId="48" priority="18">
      <formula>AND($S$214=0,$T$214&gt;0)</formula>
    </cfRule>
    <cfRule type="expression" dxfId="47" priority="19">
      <formula>$U$214=0</formula>
    </cfRule>
  </conditionalFormatting>
  <dataValidations count="5">
    <dataValidation type="whole" operator="greaterThanOrEqual" allowBlank="1" showErrorMessage="1" sqref="E11:E12 G11:G12 I11:I12 K11:K12 M11:M12 O11:O12 O51:O52 M51:M52 K51:K52 I51:I52 G51:G52 E51:E52 E91:E92 G91:G92 I91:I92 K91:K92 M91:M92 O91:O92 O131:O132 M131:M132 K131:K132 I131:I132 G131:G132 E131:E132 E171:E172 G171:G172 I171:I172 K171:K172 M171:M172 O171:O172 O211:O212 M211:M212 K211:K212 I211:I212 G211:G212 E211:E212" xr:uid="{00000000-0002-0000-0900-000000000000}">
      <formula1>0</formula1>
    </dataValidation>
    <dataValidation type="decimal" operator="greaterThanOrEqual" allowBlank="1" showInputMessage="1" showErrorMessage="1" sqref="N213 L213 J213 H213 F213 D213 D173 F173 H173 J173 L173 N173 N133 L133 J133 H133 F133 D133 D93 F93 H93 J93 L93 N93 N53 L53 J53 H53 F53 D53 D13 F13 H13 J13 L13 N13" xr:uid="{00000000-0002-0000-0900-000001000000}">
      <formula1>0</formula1>
    </dataValidation>
    <dataValidation type="list" allowBlank="1" showInputMessage="1" showErrorMessage="1" sqref="N43 N203 N163 N123 N83" xr:uid="{00000000-0002-0000-0900-000002000000}">
      <formula1>$AB$21:$AB$23</formula1>
    </dataValidation>
    <dataValidation type="list" allowBlank="1" showInputMessage="1" showErrorMessage="1" sqref="O42 O202 O162 O122 O82" xr:uid="{00000000-0002-0000-0900-000007000000}">
      <formula1>$AB$26:$AB$37</formula1>
    </dataValidation>
    <dataValidation type="list" allowBlank="1" showInputMessage="1" showErrorMessage="1" sqref="D50:O50 D210:O210 D170:O170 D130:O130 D90:O90" xr:uid="{00000000-0002-0000-0900-00000C000000}">
      <formula1>$AB$39:$AB$40</formula1>
    </dataValidation>
  </dataValidations>
  <printOptions horizontalCentered="1" verticalCentered="1"/>
  <pageMargins left="0.23129251700680273" right="0.25" top="0.63" bottom="0.96598639455782309" header="0.30000000000000004" footer="0.15000000000000002"/>
  <pageSetup scale="83" orientation="landscape" horizontalDpi="4294967292" verticalDpi="4294967292"/>
  <headerFooter>
    <oddFooter>&amp;L_x000D__x000D__x000D__x000D_        &amp;G</oddFooter>
  </headerFooter>
  <rowBreaks count="5" manualBreakCount="5">
    <brk id="40" max="16383" man="1"/>
    <brk id="80" max="16383" man="1"/>
    <brk id="120" max="16383" man="1"/>
    <brk id="160" max="16383" man="1"/>
    <brk id="200" max="16383" man="1"/>
  </rowBreaks>
  <colBreaks count="1" manualBreakCount="1">
    <brk id="16" max="1048575" man="1"/>
  </colBreaks>
  <ignoredErrors>
    <ignoredError sqref="D17:O225" formula="1"/>
  </ignoredErrors>
  <drawing r:id="rId1"/>
  <legacyDrawingHF r:id="rId2"/>
  <extLst>
    <ext xmlns:x14="http://schemas.microsoft.com/office/spreadsheetml/2009/9/main" uri="{78C0D931-6437-407d-A8EE-F0AAD7539E65}">
      <x14:conditionalFormattings>
        <x14:conditionalFormatting xmlns:xm="http://schemas.microsoft.com/office/excel/2006/main">
          <x14:cfRule type="cellIs" priority="141" operator="between" id="{98641737-D2B3-6B4C-94E4-15FCCB3148BA}">
            <xm:f>Data!$AG$7</xm:f>
            <xm:f>Data!$AF$7</xm:f>
            <x14:dxf>
              <font>
                <color rgb="FFFFFF00"/>
              </font>
              <fill>
                <patternFill patternType="solid">
                  <fgColor indexed="64"/>
                  <bgColor rgb="FFFB6B00"/>
                </patternFill>
              </fill>
            </x14:dxf>
          </x14:cfRule>
          <x14:cfRule type="cellIs" priority="146" operator="greaterThan" id="{263EF09E-CF1C-AD40-BAF0-3BD702675770}">
            <xm:f>Data!$AF$7</xm:f>
            <x14:dxf>
              <font>
                <color theme="5" tint="0.59999389629810485"/>
              </font>
              <fill>
                <patternFill patternType="solid">
                  <fgColor indexed="64"/>
                  <bgColor rgb="FFFF0000"/>
                </patternFill>
              </fill>
            </x14:dxf>
          </x14:cfRule>
          <xm:sqref>D17 F17 H17 J17 L17 N17</xm:sqref>
        </x14:conditionalFormatting>
        <x14:conditionalFormatting xmlns:xm="http://schemas.microsoft.com/office/excel/2006/main">
          <x14:cfRule type="cellIs" priority="145" operator="greaterThan" id="{9A83BBB5-ED7E-854C-9DF2-A02D3702ECA4}">
            <xm:f>Data!$AC$8</xm:f>
            <x14:dxf>
              <font>
                <color theme="5" tint="0.59999389629810485"/>
              </font>
              <fill>
                <patternFill patternType="solid">
                  <fgColor indexed="64"/>
                  <bgColor rgb="FFFF0000"/>
                </patternFill>
              </fill>
            </x14:dxf>
          </x14:cfRule>
          <xm:sqref>D19:D20 F19:F20 J19:J20 H19:H20 L19:L20 N19:N20</xm:sqref>
        </x14:conditionalFormatting>
        <x14:conditionalFormatting xmlns:xm="http://schemas.microsoft.com/office/excel/2006/main">
          <x14:cfRule type="cellIs" priority="143" operator="greaterThan" id="{6FFA8FA0-4F18-BF48-8488-3E739911D755}">
            <xm:f>Data!$AC$13</xm:f>
            <x14:dxf>
              <font>
                <color theme="5" tint="0.59999389629810485"/>
              </font>
              <fill>
                <patternFill patternType="solid">
                  <fgColor indexed="64"/>
                  <bgColor rgb="FFFF0000"/>
                </patternFill>
              </fill>
            </x14:dxf>
          </x14:cfRule>
          <xm:sqref>D25 F25 H25 J25 L25 N25 F65 H65 J65 L65 N65 F105 H105 J105 L105 N105 F145 H145 J145 L145 N145 F185 H185 J185 L185 N185 F225 H225 J225 L225 N225</xm:sqref>
        </x14:conditionalFormatting>
        <x14:conditionalFormatting xmlns:xm="http://schemas.microsoft.com/office/excel/2006/main">
          <x14:cfRule type="cellIs" priority="92" operator="greaterThan" id="{FA421883-D7DE-6A4D-BD75-8B942DDE16A7}">
            <xm:f>Data!$AF$6</xm:f>
            <x14:dxf>
              <font>
                <color rgb="FFFFFF00"/>
              </font>
              <fill>
                <patternFill patternType="solid">
                  <fgColor indexed="64"/>
                  <bgColor rgb="FFFF0000"/>
                </patternFill>
              </fill>
            </x14:dxf>
          </x14:cfRule>
          <x14:cfRule type="cellIs" priority="93" operator="greaterThan" id="{A08B7560-5C87-9F45-9700-93148E141AF1}">
            <xm:f>Data!$AG$6</xm:f>
            <x14:dxf>
              <font>
                <color rgb="FFFFFF00"/>
              </font>
              <fill>
                <patternFill patternType="solid">
                  <fgColor indexed="64"/>
                  <bgColor rgb="FFFF6600"/>
                </patternFill>
              </fill>
            </x14:dxf>
          </x14:cfRule>
          <xm:sqref>D5:I5</xm:sqref>
        </x14:conditionalFormatting>
        <x14:conditionalFormatting xmlns:xm="http://schemas.microsoft.com/office/excel/2006/main">
          <x14:cfRule type="cellIs" priority="49" operator="between" id="{474CA6A8-0225-FD4A-8900-68B2F70FE1AC}">
            <xm:f>Data!$AG$7</xm:f>
            <xm:f>Data!$AF$7</xm:f>
            <x14:dxf>
              <font>
                <color rgb="FFFFFF00"/>
              </font>
              <fill>
                <patternFill patternType="solid">
                  <fgColor indexed="64"/>
                  <bgColor rgb="FFFB6B00"/>
                </patternFill>
              </fill>
            </x14:dxf>
          </x14:cfRule>
          <x14:cfRule type="cellIs" priority="52" operator="greaterThan" id="{4926446F-F03E-A74E-85D9-4790EB2DB8DE}">
            <xm:f>Data!$AF$7</xm:f>
            <x14:dxf>
              <font>
                <color theme="5" tint="0.59999389629810485"/>
              </font>
              <fill>
                <patternFill patternType="solid">
                  <fgColor indexed="64"/>
                  <bgColor rgb="FFFF0000"/>
                </patternFill>
              </fill>
            </x14:dxf>
          </x14:cfRule>
          <xm:sqref>D57 F57 H57 J57 L57 N57</xm:sqref>
        </x14:conditionalFormatting>
        <x14:conditionalFormatting xmlns:xm="http://schemas.microsoft.com/office/excel/2006/main">
          <x14:cfRule type="cellIs" priority="51" operator="greaterThan" id="{242A2009-6C18-034F-8582-5D954D161A7F}">
            <xm:f>Data!$AC$8</xm:f>
            <x14:dxf>
              <font>
                <color theme="5" tint="0.59999389629810485"/>
              </font>
              <fill>
                <patternFill patternType="solid">
                  <fgColor indexed="64"/>
                  <bgColor rgb="FFFF0000"/>
                </patternFill>
              </fill>
            </x14:dxf>
          </x14:cfRule>
          <xm:sqref>D59:D60 F59:F60 J59:J60 H59:H60 L59:L60 N59:N60</xm:sqref>
        </x14:conditionalFormatting>
        <x14:conditionalFormatting xmlns:xm="http://schemas.microsoft.com/office/excel/2006/main">
          <x14:cfRule type="cellIs" priority="50" operator="greaterThan" id="{3DC28F71-7514-1C4B-A9AE-952E8DBA8320}">
            <xm:f>Data!$AC$13</xm:f>
            <x14:dxf>
              <font>
                <color theme="5" tint="0.59999389629810485"/>
              </font>
              <fill>
                <patternFill patternType="solid">
                  <fgColor indexed="64"/>
                  <bgColor rgb="FFFF0000"/>
                </patternFill>
              </fill>
            </x14:dxf>
          </x14:cfRule>
          <xm:sqref>D65</xm:sqref>
        </x14:conditionalFormatting>
        <x14:conditionalFormatting xmlns:xm="http://schemas.microsoft.com/office/excel/2006/main">
          <x14:cfRule type="cellIs" priority="40" operator="between" id="{C6CDC629-5F72-D640-9309-A2F58A744929}">
            <xm:f>Data!$AG$7</xm:f>
            <xm:f>Data!$AF$7</xm:f>
            <x14:dxf>
              <font>
                <color rgb="FFFFFF00"/>
              </font>
              <fill>
                <patternFill patternType="solid">
                  <fgColor indexed="64"/>
                  <bgColor rgb="FFFB6B00"/>
                </patternFill>
              </fill>
            </x14:dxf>
          </x14:cfRule>
          <x14:cfRule type="cellIs" priority="43" operator="greaterThan" id="{427723C1-9853-704F-A629-994F04DAA421}">
            <xm:f>Data!$AF$7</xm:f>
            <x14:dxf>
              <font>
                <color theme="5" tint="0.59999389629810485"/>
              </font>
              <fill>
                <patternFill patternType="solid">
                  <fgColor indexed="64"/>
                  <bgColor rgb="FFFF0000"/>
                </patternFill>
              </fill>
            </x14:dxf>
          </x14:cfRule>
          <xm:sqref>D97 F97 H97 J97 L97 N97</xm:sqref>
        </x14:conditionalFormatting>
        <x14:conditionalFormatting xmlns:xm="http://schemas.microsoft.com/office/excel/2006/main">
          <x14:cfRule type="cellIs" priority="42" operator="greaterThan" id="{9EDA4C89-F63B-7240-839B-DB8CF38180A0}">
            <xm:f>Data!$AC$8</xm:f>
            <x14:dxf>
              <font>
                <color theme="5" tint="0.59999389629810485"/>
              </font>
              <fill>
                <patternFill patternType="solid">
                  <fgColor indexed="64"/>
                  <bgColor rgb="FFFF0000"/>
                </patternFill>
              </fill>
            </x14:dxf>
          </x14:cfRule>
          <xm:sqref>D99:D100 F99:F100 J99:J100 H99:H100 L99:L100 N99:N100</xm:sqref>
        </x14:conditionalFormatting>
        <x14:conditionalFormatting xmlns:xm="http://schemas.microsoft.com/office/excel/2006/main">
          <x14:cfRule type="cellIs" priority="41" operator="greaterThan" id="{BB02D7CF-FE21-0F4E-BD11-E82ADDC14706}">
            <xm:f>Data!$AC$13</xm:f>
            <x14:dxf>
              <font>
                <color theme="5" tint="0.59999389629810485"/>
              </font>
              <fill>
                <patternFill patternType="solid">
                  <fgColor indexed="64"/>
                  <bgColor rgb="FFFF0000"/>
                </patternFill>
              </fill>
            </x14:dxf>
          </x14:cfRule>
          <xm:sqref>D105</xm:sqref>
        </x14:conditionalFormatting>
        <x14:conditionalFormatting xmlns:xm="http://schemas.microsoft.com/office/excel/2006/main">
          <x14:cfRule type="cellIs" priority="31" operator="between" id="{813DD5D5-85F5-754F-ABED-24E183A960E4}">
            <xm:f>Data!$AG$7</xm:f>
            <xm:f>Data!$AF$7</xm:f>
            <x14:dxf>
              <font>
                <color rgb="FFFFFF00"/>
              </font>
              <fill>
                <patternFill patternType="solid">
                  <fgColor indexed="64"/>
                  <bgColor rgb="FFFB6B00"/>
                </patternFill>
              </fill>
            </x14:dxf>
          </x14:cfRule>
          <x14:cfRule type="cellIs" priority="34" operator="greaterThan" id="{722F2B8C-2E48-D448-B112-79877257D712}">
            <xm:f>Data!$AF$7</xm:f>
            <x14:dxf>
              <font>
                <color theme="5" tint="0.59999389629810485"/>
              </font>
              <fill>
                <patternFill patternType="solid">
                  <fgColor indexed="64"/>
                  <bgColor rgb="FFFF0000"/>
                </patternFill>
              </fill>
            </x14:dxf>
          </x14:cfRule>
          <xm:sqref>D137 F137 H137 J137 L137 N137</xm:sqref>
        </x14:conditionalFormatting>
        <x14:conditionalFormatting xmlns:xm="http://schemas.microsoft.com/office/excel/2006/main">
          <x14:cfRule type="cellIs" priority="33" operator="greaterThan" id="{CD170E5D-279C-DF45-8779-2FB513A69C1F}">
            <xm:f>Data!$AC$8</xm:f>
            <x14:dxf>
              <font>
                <color theme="5" tint="0.59999389629810485"/>
              </font>
              <fill>
                <patternFill patternType="solid">
                  <fgColor indexed="64"/>
                  <bgColor rgb="FFFF0000"/>
                </patternFill>
              </fill>
            </x14:dxf>
          </x14:cfRule>
          <xm:sqref>D139:D140 F139:F140 J139:J140 H139:H140 L139:L140 N139:N140</xm:sqref>
        </x14:conditionalFormatting>
        <x14:conditionalFormatting xmlns:xm="http://schemas.microsoft.com/office/excel/2006/main">
          <x14:cfRule type="cellIs" priority="32" operator="greaterThan" id="{C49127C4-606B-164E-B620-F826D0C2BCAD}">
            <xm:f>Data!$AC$13</xm:f>
            <x14:dxf>
              <font>
                <color theme="5" tint="0.59999389629810485"/>
              </font>
              <fill>
                <patternFill patternType="solid">
                  <fgColor indexed="64"/>
                  <bgColor rgb="FFFF0000"/>
                </patternFill>
              </fill>
            </x14:dxf>
          </x14:cfRule>
          <xm:sqref>D145</xm:sqref>
        </x14:conditionalFormatting>
        <x14:conditionalFormatting xmlns:xm="http://schemas.microsoft.com/office/excel/2006/main">
          <x14:cfRule type="cellIs" priority="22" operator="between" id="{5F87DB02-3707-884A-8C34-1000D54E7F22}">
            <xm:f>Data!$AG$7</xm:f>
            <xm:f>Data!$AF$7</xm:f>
            <x14:dxf>
              <font>
                <color rgb="FFFFFF00"/>
              </font>
              <fill>
                <patternFill patternType="solid">
                  <fgColor indexed="64"/>
                  <bgColor rgb="FFFB6B00"/>
                </patternFill>
              </fill>
            </x14:dxf>
          </x14:cfRule>
          <x14:cfRule type="cellIs" priority="25" operator="greaterThan" id="{2E0B4E54-7887-4941-B8EA-EBF2BA2642C9}">
            <xm:f>Data!$AF$7</xm:f>
            <x14:dxf>
              <font>
                <color theme="5" tint="0.59999389629810485"/>
              </font>
              <fill>
                <patternFill patternType="solid">
                  <fgColor indexed="64"/>
                  <bgColor rgb="FFFF0000"/>
                </patternFill>
              </fill>
            </x14:dxf>
          </x14:cfRule>
          <xm:sqref>D177 F177 H177 J177 L177 N177</xm:sqref>
        </x14:conditionalFormatting>
        <x14:conditionalFormatting xmlns:xm="http://schemas.microsoft.com/office/excel/2006/main">
          <x14:cfRule type="cellIs" priority="24" operator="greaterThan" id="{791A8841-A9C4-3A40-AFE0-2DD68F7F51C8}">
            <xm:f>Data!$AC$8</xm:f>
            <x14:dxf>
              <font>
                <color theme="5" tint="0.59999389629810485"/>
              </font>
              <fill>
                <patternFill patternType="solid">
                  <fgColor indexed="64"/>
                  <bgColor rgb="FFFF0000"/>
                </patternFill>
              </fill>
            </x14:dxf>
          </x14:cfRule>
          <xm:sqref>D179:D180 F179:F180 J179:J180 H179:H180 L179:L180 N179:N180</xm:sqref>
        </x14:conditionalFormatting>
        <x14:conditionalFormatting xmlns:xm="http://schemas.microsoft.com/office/excel/2006/main">
          <x14:cfRule type="cellIs" priority="23" operator="greaterThan" id="{EA2B6A94-4A8F-8B4E-ADD4-63C5C83A7269}">
            <xm:f>Data!$AC$13</xm:f>
            <x14:dxf>
              <font>
                <color theme="5" tint="0.59999389629810485"/>
              </font>
              <fill>
                <patternFill patternType="solid">
                  <fgColor indexed="64"/>
                  <bgColor rgb="FFFF0000"/>
                </patternFill>
              </fill>
            </x14:dxf>
          </x14:cfRule>
          <xm:sqref>D185</xm:sqref>
        </x14:conditionalFormatting>
        <x14:conditionalFormatting xmlns:xm="http://schemas.microsoft.com/office/excel/2006/main">
          <x14:cfRule type="cellIs" priority="13" operator="between" id="{D2138C4C-FD95-6A47-8A33-4EABA931078D}">
            <xm:f>Data!$AG$7</xm:f>
            <xm:f>Data!$AF$7</xm:f>
            <x14:dxf>
              <font>
                <color rgb="FFFFFF00"/>
              </font>
              <fill>
                <patternFill patternType="solid">
                  <fgColor indexed="64"/>
                  <bgColor rgb="FFFB6B00"/>
                </patternFill>
              </fill>
            </x14:dxf>
          </x14:cfRule>
          <x14:cfRule type="cellIs" priority="16" operator="greaterThan" id="{ED907EF1-635A-554A-A95A-3D538A600E06}">
            <xm:f>Data!$AF$7</xm:f>
            <x14:dxf>
              <font>
                <color theme="5" tint="0.59999389629810485"/>
              </font>
              <fill>
                <patternFill patternType="solid">
                  <fgColor indexed="64"/>
                  <bgColor rgb="FFFF0000"/>
                </patternFill>
              </fill>
            </x14:dxf>
          </x14:cfRule>
          <xm:sqref>D217 F217 H217 J217 L217 N217</xm:sqref>
        </x14:conditionalFormatting>
        <x14:conditionalFormatting xmlns:xm="http://schemas.microsoft.com/office/excel/2006/main">
          <x14:cfRule type="cellIs" priority="15" operator="greaterThan" id="{702810D9-F0A9-E849-AA56-69FDF63BEC86}">
            <xm:f>Data!$AC$8</xm:f>
            <x14:dxf>
              <font>
                <color theme="5" tint="0.59999389629810485"/>
              </font>
              <fill>
                <patternFill patternType="solid">
                  <fgColor indexed="64"/>
                  <bgColor rgb="FFFF0000"/>
                </patternFill>
              </fill>
            </x14:dxf>
          </x14:cfRule>
          <xm:sqref>D219:D220 F219:F220 J219:J220 H219:H220 L219:L220 N219:N220</xm:sqref>
        </x14:conditionalFormatting>
        <x14:conditionalFormatting xmlns:xm="http://schemas.microsoft.com/office/excel/2006/main">
          <x14:cfRule type="cellIs" priority="14" operator="greaterThan" id="{85C88863-8FB4-DA4F-8528-EFFC25EBDB66}">
            <xm:f>Data!$AC$13</xm:f>
            <x14:dxf>
              <font>
                <color theme="5" tint="0.59999389629810485"/>
              </font>
              <fill>
                <patternFill patternType="solid">
                  <fgColor indexed="64"/>
                  <bgColor rgb="FFFF0000"/>
                </patternFill>
              </fill>
            </x14:dxf>
          </x14:cfRule>
          <xm:sqref>D225</xm:sqref>
        </x14:conditionalFormatting>
        <x14:conditionalFormatting xmlns:xm="http://schemas.microsoft.com/office/excel/2006/main">
          <x14:cfRule type="cellIs" priority="9" operator="greaterThan" id="{C28D38EC-41FF-4E45-8DA9-7490D6475A57}">
            <xm:f>Data!$AF$6</xm:f>
            <x14:dxf>
              <font>
                <color rgb="FFFFFF00"/>
              </font>
              <fill>
                <patternFill patternType="solid">
                  <fgColor indexed="64"/>
                  <bgColor rgb="FFFF0000"/>
                </patternFill>
              </fill>
            </x14:dxf>
          </x14:cfRule>
          <x14:cfRule type="cellIs" priority="10" operator="greaterThan" id="{5C66422A-6FFC-A443-BCB0-F1E934EC84D7}">
            <xm:f>Data!$AG$6</xm:f>
            <x14:dxf>
              <font>
                <color rgb="FFFFFF00"/>
              </font>
              <fill>
                <patternFill patternType="solid">
                  <fgColor indexed="64"/>
                  <bgColor rgb="FFFF6600"/>
                </patternFill>
              </fill>
            </x14:dxf>
          </x14:cfRule>
          <xm:sqref>D45:I45</xm:sqref>
        </x14:conditionalFormatting>
        <x14:conditionalFormatting xmlns:xm="http://schemas.microsoft.com/office/excel/2006/main">
          <x14:cfRule type="cellIs" priority="7" operator="greaterThan" id="{310ED412-7682-EA4A-A75D-70ABD8D4C98E}">
            <xm:f>Data!$AF$6</xm:f>
            <x14:dxf>
              <font>
                <color rgb="FFFFFF00"/>
              </font>
              <fill>
                <patternFill patternType="solid">
                  <fgColor indexed="64"/>
                  <bgColor rgb="FFFF0000"/>
                </patternFill>
              </fill>
            </x14:dxf>
          </x14:cfRule>
          <x14:cfRule type="cellIs" priority="8" operator="greaterThan" id="{86E424F1-5CFF-4F4C-BB75-3CFFAB4C1AF2}">
            <xm:f>Data!$AG$6</xm:f>
            <x14:dxf>
              <font>
                <color rgb="FFFFFF00"/>
              </font>
              <fill>
                <patternFill patternType="solid">
                  <fgColor indexed="64"/>
                  <bgColor rgb="FFFF6600"/>
                </patternFill>
              </fill>
            </x14:dxf>
          </x14:cfRule>
          <xm:sqref>D85:I85</xm:sqref>
        </x14:conditionalFormatting>
        <x14:conditionalFormatting xmlns:xm="http://schemas.microsoft.com/office/excel/2006/main">
          <x14:cfRule type="cellIs" priority="5" operator="greaterThan" id="{400F56DE-2822-8045-91E5-20762F194EC1}">
            <xm:f>Data!$AF$6</xm:f>
            <x14:dxf>
              <font>
                <color rgb="FFFFFF00"/>
              </font>
              <fill>
                <patternFill patternType="solid">
                  <fgColor indexed="64"/>
                  <bgColor rgb="FFFF0000"/>
                </patternFill>
              </fill>
            </x14:dxf>
          </x14:cfRule>
          <x14:cfRule type="cellIs" priority="6" operator="greaterThan" id="{790D6769-B1CC-724A-99CB-72CF56381577}">
            <xm:f>Data!$AG$6</xm:f>
            <x14:dxf>
              <font>
                <color rgb="FFFFFF00"/>
              </font>
              <fill>
                <patternFill patternType="solid">
                  <fgColor indexed="64"/>
                  <bgColor rgb="FFFF6600"/>
                </patternFill>
              </fill>
            </x14:dxf>
          </x14:cfRule>
          <xm:sqref>D125:I125</xm:sqref>
        </x14:conditionalFormatting>
        <x14:conditionalFormatting xmlns:xm="http://schemas.microsoft.com/office/excel/2006/main">
          <x14:cfRule type="cellIs" priority="3" operator="greaterThan" id="{5761F331-4F51-1741-81A2-9FAD0AC208C5}">
            <xm:f>Data!$AF$6</xm:f>
            <x14:dxf>
              <font>
                <color rgb="FFFFFF00"/>
              </font>
              <fill>
                <patternFill patternType="solid">
                  <fgColor indexed="64"/>
                  <bgColor rgb="FFFF0000"/>
                </patternFill>
              </fill>
            </x14:dxf>
          </x14:cfRule>
          <x14:cfRule type="cellIs" priority="4" operator="greaterThan" id="{11BFFB6E-D478-C04D-87B4-7B9D441BB434}">
            <xm:f>Data!$AG$6</xm:f>
            <x14:dxf>
              <font>
                <color rgb="FFFFFF00"/>
              </font>
              <fill>
                <patternFill patternType="solid">
                  <fgColor indexed="64"/>
                  <bgColor rgb="FFFF6600"/>
                </patternFill>
              </fill>
            </x14:dxf>
          </x14:cfRule>
          <xm:sqref>D165:I165</xm:sqref>
        </x14:conditionalFormatting>
        <x14:conditionalFormatting xmlns:xm="http://schemas.microsoft.com/office/excel/2006/main">
          <x14:cfRule type="cellIs" priority="1" operator="greaterThan" id="{D881DB1E-4A05-3948-9497-EFC4EA633618}">
            <xm:f>Data!$AF$6</xm:f>
            <x14:dxf>
              <font>
                <color rgb="FFFFFF00"/>
              </font>
              <fill>
                <patternFill patternType="solid">
                  <fgColor indexed="64"/>
                  <bgColor rgb="FFFF0000"/>
                </patternFill>
              </fill>
            </x14:dxf>
          </x14:cfRule>
          <x14:cfRule type="cellIs" priority="2" operator="greaterThan" id="{5102E2AC-3C9F-324A-B459-356612C64119}">
            <xm:f>Data!$AG$6</xm:f>
            <x14:dxf>
              <font>
                <color rgb="FFFFFF00"/>
              </font>
              <fill>
                <patternFill patternType="solid">
                  <fgColor indexed="64"/>
                  <bgColor rgb="FFFF6600"/>
                </patternFill>
              </fill>
            </x14:dxf>
          </x14:cfRule>
          <xm:sqref>D205:I205</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r:uid="{00000000-0002-0000-0900-000011000000}">
          <x14:formula1>
            <xm:f>Data!$AB$30:$AB$32</xm:f>
          </x14:formula1>
          <xm:sqref>N3</xm:sqref>
        </x14:dataValidation>
        <x14:dataValidation type="list" allowBlank="1" showInputMessage="1" showErrorMessage="1" xr:uid="{00000000-0002-0000-0900-000013000000}">
          <x14:formula1>
            <xm:f>Data!$AB$49:$AB$50</xm:f>
          </x14:formula1>
          <xm:sqref>D10:O10</xm:sqref>
        </x14:dataValidation>
        <x14:dataValidation type="list" allowBlank="1" showInputMessage="1" showErrorMessage="1" xr:uid="{00000000-0002-0000-0900-000012000000}">
          <x14:formula1>
            <xm:f>Data!$AB$35:$AB$46</xm:f>
          </x14:formula1>
          <xm:sqref>O2</xm:sqref>
        </x14:dataValidation>
        <x14:dataValidation type="list" allowBlank="1" showInputMessage="1" showErrorMessage="1" xr:uid="{00000000-0002-0000-0900-000014000000}">
          <x14:formula1>
            <xm:f>Data!$W$4:$W$62</xm:f>
          </x14:formula1>
          <xm:sqref>L51:L52 D211:D212 F211:F212 H211:H212 J211:J212 L211:L212 N211:N212 D171:D172 F171:F172 H171:H172 J171:J172 L171:L172 N171:N172 D131:D132 F131:F132 H131:H132 J131:J132 L131:L132 N131:N132 D91:D92 F91:F92 H91:H92 J91:J92 L91:L92 N91:N92 D11:D12 F11:F12 H11:H12 J11:J12 L11:L12 N11:N12 D51:D52 F51:F52 H51:H52 J51:J52 N51:N52</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8">
    <tabColor theme="1"/>
  </sheetPr>
  <dimension ref="A1:AJ38"/>
  <sheetViews>
    <sheetView showGridLines="0" workbookViewId="0">
      <selection activeCell="G9" sqref="G9"/>
    </sheetView>
  </sheetViews>
  <sheetFormatPr baseColWidth="10" defaultColWidth="0" defaultRowHeight="15" customHeight="1" zeroHeight="1" x14ac:dyDescent="0.2"/>
  <cols>
    <col min="1" max="1" width="2.83203125" customWidth="1"/>
    <col min="2" max="2" width="15" customWidth="1"/>
    <col min="3" max="3" width="0.5" customWidth="1"/>
    <col min="4" max="4" width="7.1640625" customWidth="1"/>
    <col min="5" max="5" width="5.6640625" customWidth="1"/>
    <col min="6" max="6" width="7.1640625" customWidth="1"/>
    <col min="7" max="7" width="5.6640625" customWidth="1"/>
    <col min="8" max="8" width="7.1640625" customWidth="1"/>
    <col min="9" max="9" width="5.6640625" customWidth="1"/>
    <col min="10" max="10" width="7.1640625" customWidth="1"/>
    <col min="11" max="11" width="5.6640625" customWidth="1"/>
    <col min="12" max="12" width="7.1640625" customWidth="1"/>
    <col min="13" max="13" width="5.6640625" customWidth="1"/>
    <col min="14" max="14" width="7.1640625" customWidth="1"/>
    <col min="15" max="15" width="5.6640625" customWidth="1"/>
    <col min="16" max="16" width="7.1640625" customWidth="1"/>
    <col min="17" max="17" width="5.6640625" customWidth="1"/>
    <col min="18" max="18" width="7.1640625" customWidth="1"/>
    <col min="19" max="19" width="5.6640625" customWidth="1"/>
    <col min="20" max="20" width="2.83203125" customWidth="1"/>
    <col min="21" max="38" width="10.83203125" hidden="1" customWidth="1"/>
    <col min="39" max="16384" width="10.83203125" hidden="1"/>
  </cols>
  <sheetData>
    <row r="1" spans="1:23" ht="17" thickBot="1" x14ac:dyDescent="0.25">
      <c r="A1" s="1"/>
      <c r="B1" s="1"/>
      <c r="C1" s="1"/>
      <c r="D1" s="1"/>
      <c r="E1" s="1"/>
      <c r="F1" s="1"/>
      <c r="G1" s="1"/>
      <c r="H1" s="1"/>
      <c r="I1" s="1"/>
      <c r="J1" s="1"/>
      <c r="K1" s="1"/>
      <c r="L1" s="1"/>
      <c r="M1" s="1"/>
      <c r="N1" s="1"/>
      <c r="O1" s="1"/>
      <c r="P1" s="1"/>
      <c r="Q1" s="1"/>
      <c r="R1" s="1"/>
      <c r="S1" s="162" t="str">
        <f>Data!$M$1</f>
        <v>06.257.005.01 C</v>
      </c>
      <c r="T1" s="1"/>
    </row>
    <row r="2" spans="1:23" ht="16" x14ac:dyDescent="0.2">
      <c r="A2" s="1"/>
      <c r="B2" s="10" t="s">
        <v>192</v>
      </c>
      <c r="C2" s="1"/>
      <c r="D2" s="11" t="s">
        <v>252</v>
      </c>
      <c r="E2" s="154">
        <f>IF('Master US'!R64=0,'Master US'!N5,'US MDM-5000'!R16)</f>
        <v>120</v>
      </c>
      <c r="F2" s="1"/>
      <c r="G2" s="1"/>
      <c r="H2" s="572" t="s">
        <v>240</v>
      </c>
      <c r="I2" s="573"/>
      <c r="J2" s="7"/>
      <c r="K2" s="55"/>
      <c r="L2" s="1"/>
      <c r="M2" s="1"/>
      <c r="N2" s="53" t="s">
        <v>241</v>
      </c>
      <c r="O2" s="54"/>
      <c r="P2" s="27" t="s">
        <v>194</v>
      </c>
      <c r="Q2" s="27"/>
      <c r="R2" s="31">
        <v>12</v>
      </c>
      <c r="S2" s="30" t="s">
        <v>158</v>
      </c>
      <c r="T2" s="1"/>
    </row>
    <row r="3" spans="1:23" ht="5" customHeight="1" x14ac:dyDescent="0.25">
      <c r="A3" s="1"/>
      <c r="B3" s="2"/>
      <c r="C3" s="1"/>
      <c r="D3" s="5"/>
      <c r="E3" s="7"/>
      <c r="F3" s="1"/>
      <c r="G3" s="8"/>
      <c r="H3" s="56"/>
      <c r="I3" s="57"/>
      <c r="J3" s="1"/>
      <c r="K3" s="1"/>
      <c r="L3" s="7"/>
      <c r="M3" s="8"/>
      <c r="N3" s="58"/>
      <c r="O3" s="59"/>
      <c r="P3" s="1"/>
      <c r="Q3" s="1"/>
      <c r="R3" s="1"/>
      <c r="S3" s="1"/>
      <c r="T3" s="1"/>
    </row>
    <row r="4" spans="1:23" ht="15" customHeight="1" x14ac:dyDescent="0.2">
      <c r="A4" s="1"/>
      <c r="B4" s="23" t="s">
        <v>320</v>
      </c>
      <c r="C4" s="1"/>
      <c r="D4" s="25">
        <f>(D14+F14+H14+J14+L14+N14+P14+R14)*1.3</f>
        <v>17.441666666666666</v>
      </c>
      <c r="E4" s="13" t="str">
        <f>IF(D4&gt;Data!AC22,"&lt;OVER!","A RMS")</f>
        <v>A RMS</v>
      </c>
      <c r="F4" s="9"/>
      <c r="G4" s="7"/>
      <c r="H4" s="48">
        <f>D14+F14+H14+J14</f>
        <v>6.5166666666666666</v>
      </c>
      <c r="I4" s="49" t="str">
        <f>IF(H4&gt;Data!AC23,"&lt;OVER!","A RMS")</f>
        <v>A RMS</v>
      </c>
      <c r="J4" s="636" t="s">
        <v>109</v>
      </c>
      <c r="K4" s="637"/>
      <c r="L4" s="637"/>
      <c r="M4" s="638"/>
      <c r="N4" s="48">
        <f>L14+N14+P14+R14</f>
        <v>6.9</v>
      </c>
      <c r="O4" s="49" t="str">
        <f>IF(N4&gt;Data!AC23,"&lt;OVER!","A RMS")</f>
        <v>A RMS</v>
      </c>
      <c r="P4" s="1"/>
      <c r="Q4" s="562" t="str">
        <f>IF('US MDM-832'!W14&gt;0,"N O !","O K")</f>
        <v>O K</v>
      </c>
      <c r="R4" s="563"/>
      <c r="S4" s="1"/>
      <c r="T4" s="1"/>
    </row>
    <row r="5" spans="1:23" ht="15" customHeight="1" x14ac:dyDescent="0.2">
      <c r="A5" s="1"/>
      <c r="B5" s="23" t="s">
        <v>199</v>
      </c>
      <c r="C5" s="1"/>
      <c r="D5" s="25">
        <f>(D15+F15+H15+J15+L15+N15+P15+R15)</f>
        <v>29.516666666666666</v>
      </c>
      <c r="E5" s="13" t="s">
        <v>116</v>
      </c>
      <c r="F5" s="9"/>
      <c r="G5" s="7"/>
      <c r="H5" s="48">
        <f>D15+F15+H15+J15</f>
        <v>9.9666666666666668</v>
      </c>
      <c r="I5" s="50" t="s">
        <v>243</v>
      </c>
      <c r="J5" s="639" t="s">
        <v>110</v>
      </c>
      <c r="K5" s="640"/>
      <c r="L5" s="640"/>
      <c r="M5" s="641"/>
      <c r="N5" s="48">
        <f>L15+N15+P15+R15</f>
        <v>19.549999999999997</v>
      </c>
      <c r="O5" s="50" t="s">
        <v>243</v>
      </c>
      <c r="P5" s="1"/>
      <c r="Q5" s="564"/>
      <c r="R5" s="565"/>
      <c r="S5" s="1"/>
      <c r="T5" s="1"/>
    </row>
    <row r="6" spans="1:23" ht="15" customHeight="1" thickBot="1" x14ac:dyDescent="0.25">
      <c r="A6" s="1"/>
      <c r="B6" s="24" t="s">
        <v>200</v>
      </c>
      <c r="C6" s="1"/>
      <c r="D6" s="26">
        <f>(D16+F16+H16+J16+L16+N16+P16+R16)</f>
        <v>45.61666666666666</v>
      </c>
      <c r="E6" s="60" t="s">
        <v>117</v>
      </c>
      <c r="F6" s="9"/>
      <c r="G6" s="7"/>
      <c r="H6" s="51">
        <f>D16+F16+H16+J16</f>
        <v>26.450000000000003</v>
      </c>
      <c r="I6" s="52" t="str">
        <f>IF(H6&gt;Data!AC24,"&lt;OVER!","A Pk")</f>
        <v>A Pk</v>
      </c>
      <c r="J6" s="639" t="s">
        <v>200</v>
      </c>
      <c r="K6" s="640"/>
      <c r="L6" s="640"/>
      <c r="M6" s="641"/>
      <c r="N6" s="51">
        <f>L16+N16+P16+R16</f>
        <v>19.166666666666664</v>
      </c>
      <c r="O6" s="52" t="str">
        <f>IF(N6&gt;Data!AC24,"&lt;OVER!","A Pk")</f>
        <v>A Pk</v>
      </c>
      <c r="P6" s="1"/>
      <c r="Q6" s="566"/>
      <c r="R6" s="567"/>
      <c r="S6" s="1"/>
      <c r="T6" s="1"/>
    </row>
    <row r="7" spans="1:23" ht="8" customHeight="1" thickBot="1" x14ac:dyDescent="0.25">
      <c r="A7" s="1"/>
      <c r="B7" s="1"/>
      <c r="C7" s="1"/>
      <c r="D7" s="1"/>
      <c r="E7" s="1"/>
      <c r="F7" s="1"/>
      <c r="G7" s="1"/>
      <c r="H7" s="1"/>
      <c r="I7" s="1"/>
      <c r="J7" s="1"/>
      <c r="K7" s="1"/>
      <c r="L7" s="1"/>
      <c r="M7" s="1"/>
      <c r="N7" s="1"/>
      <c r="O7" s="1"/>
      <c r="P7" s="1"/>
      <c r="Q7" s="1"/>
      <c r="R7" s="1"/>
      <c r="S7" s="1"/>
      <c r="T7" s="1"/>
    </row>
    <row r="8" spans="1:23" ht="16" x14ac:dyDescent="0.2">
      <c r="A8" s="1"/>
      <c r="B8" s="10" t="s">
        <v>203</v>
      </c>
      <c r="C8" s="1"/>
      <c r="D8" s="560">
        <v>1</v>
      </c>
      <c r="E8" s="561"/>
      <c r="F8" s="553">
        <v>2</v>
      </c>
      <c r="G8" s="561"/>
      <c r="H8" s="553">
        <v>3</v>
      </c>
      <c r="I8" s="561"/>
      <c r="J8" s="553">
        <v>4</v>
      </c>
      <c r="K8" s="554"/>
      <c r="L8" s="560">
        <v>5</v>
      </c>
      <c r="M8" s="561"/>
      <c r="N8" s="553">
        <v>6</v>
      </c>
      <c r="O8" s="561"/>
      <c r="P8" s="553">
        <v>7</v>
      </c>
      <c r="Q8" s="561"/>
      <c r="R8" s="553">
        <v>8</v>
      </c>
      <c r="S8" s="554"/>
      <c r="T8" s="1"/>
      <c r="V8" t="s">
        <v>321</v>
      </c>
    </row>
    <row r="9" spans="1:23" ht="16" x14ac:dyDescent="0.2">
      <c r="A9" s="1"/>
      <c r="B9" s="23" t="s">
        <v>205</v>
      </c>
      <c r="C9" s="1"/>
      <c r="D9" s="61" t="s">
        <v>245</v>
      </c>
      <c r="E9" s="62">
        <v>1</v>
      </c>
      <c r="F9" s="63" t="s">
        <v>245</v>
      </c>
      <c r="G9" s="62">
        <v>1</v>
      </c>
      <c r="H9" s="63" t="s">
        <v>245</v>
      </c>
      <c r="I9" s="62">
        <v>1</v>
      </c>
      <c r="J9" s="63" t="s">
        <v>245</v>
      </c>
      <c r="K9" s="64">
        <v>1</v>
      </c>
      <c r="L9" s="61" t="s">
        <v>246</v>
      </c>
      <c r="M9" s="62">
        <v>1</v>
      </c>
      <c r="N9" s="63" t="s">
        <v>246</v>
      </c>
      <c r="O9" s="62">
        <v>1</v>
      </c>
      <c r="P9" s="63" t="s">
        <v>246</v>
      </c>
      <c r="Q9" s="62">
        <v>1</v>
      </c>
      <c r="R9" s="63" t="s">
        <v>246</v>
      </c>
      <c r="S9" s="64">
        <v>1</v>
      </c>
      <c r="T9" s="1"/>
      <c r="V9" t="s">
        <v>162</v>
      </c>
      <c r="W9">
        <f>IF('US MDM-832'!D4&gt;Data!AC22,1,0)</f>
        <v>0</v>
      </c>
    </row>
    <row r="10" spans="1:23" ht="16" x14ac:dyDescent="0.2">
      <c r="A10" s="1"/>
      <c r="B10" s="23" t="s">
        <v>205</v>
      </c>
      <c r="C10" s="1"/>
      <c r="D10" s="65" t="s">
        <v>127</v>
      </c>
      <c r="E10" s="62">
        <v>0</v>
      </c>
      <c r="F10" s="66" t="s">
        <v>127</v>
      </c>
      <c r="G10" s="62">
        <v>0</v>
      </c>
      <c r="H10" s="66" t="s">
        <v>127</v>
      </c>
      <c r="I10" s="62">
        <v>0</v>
      </c>
      <c r="J10" s="66" t="s">
        <v>127</v>
      </c>
      <c r="K10" s="64">
        <v>0</v>
      </c>
      <c r="L10" s="65" t="s">
        <v>127</v>
      </c>
      <c r="M10" s="62">
        <v>0</v>
      </c>
      <c r="N10" s="66" t="s">
        <v>127</v>
      </c>
      <c r="O10" s="62">
        <v>0</v>
      </c>
      <c r="P10" s="66" t="s">
        <v>127</v>
      </c>
      <c r="Q10" s="62">
        <v>0</v>
      </c>
      <c r="R10" s="66" t="s">
        <v>127</v>
      </c>
      <c r="S10" s="64">
        <v>0</v>
      </c>
      <c r="T10" s="1"/>
      <c r="V10" t="s">
        <v>201</v>
      </c>
      <c r="W10">
        <f>IF(OR('US MDM-832'!H4&gt;Data!AC23,'US MDM-832'!N4&gt;Data!AC23,),1,0)</f>
        <v>0</v>
      </c>
    </row>
    <row r="11" spans="1:23" ht="16" x14ac:dyDescent="0.2">
      <c r="A11" s="1"/>
      <c r="B11" s="23" t="s">
        <v>121</v>
      </c>
      <c r="C11" s="1"/>
      <c r="D11" s="68">
        <v>100</v>
      </c>
      <c r="E11" s="29" t="s">
        <v>307</v>
      </c>
      <c r="F11" s="67">
        <v>100</v>
      </c>
      <c r="G11" s="29" t="s">
        <v>307</v>
      </c>
      <c r="H11" s="67">
        <v>100</v>
      </c>
      <c r="I11" s="29" t="s">
        <v>307</v>
      </c>
      <c r="J11" s="67">
        <v>100</v>
      </c>
      <c r="K11" s="28" t="s">
        <v>307</v>
      </c>
      <c r="L11" s="68">
        <v>100</v>
      </c>
      <c r="M11" s="29" t="s">
        <v>307</v>
      </c>
      <c r="N11" s="67">
        <v>100</v>
      </c>
      <c r="O11" s="29" t="s">
        <v>307</v>
      </c>
      <c r="P11" s="67">
        <v>100</v>
      </c>
      <c r="Q11" s="29" t="s">
        <v>307</v>
      </c>
      <c r="R11" s="67">
        <v>100</v>
      </c>
      <c r="S11" s="28" t="s">
        <v>307</v>
      </c>
      <c r="T11" s="1"/>
      <c r="V11" t="s">
        <v>202</v>
      </c>
      <c r="W11">
        <f>IF(OR('US MDM-832'!H6&gt;Data!AC24,'US MDM-832'!N6&gt;Data!AC24,),1,0)</f>
        <v>0</v>
      </c>
    </row>
    <row r="12" spans="1:23" ht="11" customHeight="1" x14ac:dyDescent="0.2">
      <c r="A12" s="1"/>
      <c r="B12" s="2"/>
      <c r="C12" s="1"/>
      <c r="D12" s="555" t="s">
        <v>210</v>
      </c>
      <c r="E12" s="556"/>
      <c r="F12" s="556"/>
      <c r="G12" s="556"/>
      <c r="H12" s="556"/>
      <c r="I12" s="556"/>
      <c r="J12" s="556"/>
      <c r="K12" s="558"/>
      <c r="L12" s="555" t="s">
        <v>210</v>
      </c>
      <c r="M12" s="556"/>
      <c r="N12" s="556"/>
      <c r="O12" s="556"/>
      <c r="P12" s="556"/>
      <c r="Q12" s="556"/>
      <c r="R12" s="556"/>
      <c r="S12" s="558"/>
      <c r="T12" s="1"/>
      <c r="V12" t="s">
        <v>204</v>
      </c>
      <c r="W12">
        <f>IF(OR('US MDM-832'!D22&gt;Data!AC27,'US MDM-832'!F22&gt;Data!AC27,'US MDM-832'!H22&gt;Data!AC27,'US MDM-832'!J22&gt;Data!AC27,'US MDM-832'!L22&gt;Data!AC27,'US MDM-832'!N22&gt;Data!AC27,'US MDM-832'!P22&gt;Data!AC27,'US MDM-832'!R22&gt;Data!AC27),1,0)</f>
        <v>0</v>
      </c>
    </row>
    <row r="13" spans="1:23" ht="6" customHeight="1" x14ac:dyDescent="0.2">
      <c r="A13" s="1"/>
      <c r="B13" s="2"/>
      <c r="C13" s="1"/>
      <c r="D13" s="3"/>
      <c r="E13" s="4"/>
      <c r="F13" s="5"/>
      <c r="G13" s="4"/>
      <c r="H13" s="5"/>
      <c r="I13" s="4"/>
      <c r="J13" s="5"/>
      <c r="K13" s="6"/>
      <c r="L13" s="3"/>
      <c r="M13" s="4"/>
      <c r="N13" s="5"/>
      <c r="O13" s="4"/>
      <c r="P13" s="5"/>
      <c r="Q13" s="4"/>
      <c r="R13" s="5"/>
      <c r="S13" s="6"/>
      <c r="T13" s="1"/>
    </row>
    <row r="14" spans="1:23" ht="16" x14ac:dyDescent="0.2">
      <c r="A14" s="1"/>
      <c r="B14" s="23" t="s">
        <v>211</v>
      </c>
      <c r="C14" s="1"/>
      <c r="D14" s="12">
        <f>(((VLOOKUP($D$9,Data!$W$4:$Z$62,2,FALSE)*$E$9)+(VLOOKUP($D$10,Data!$W$4:$Z$62,2,FALSE)*$E$10))/$E$2)*Data!$W$3</f>
        <v>1.6291666666666667</v>
      </c>
      <c r="E14" s="13" t="str">
        <f>IF(D14&gt;Data!$AF$23,"&lt;OVER",IF(D14&gt;Data!$AG$23,"&lt;Not UL","A RMS"))</f>
        <v>A RMS</v>
      </c>
      <c r="F14" s="14">
        <f>(((VLOOKUP($F$9,Data!$W$4:$Z$62,2,FALSE)*$G$9)+(VLOOKUP($F$10,Data!$W$4:$Z$62,2,FALSE)*$G$10))/$E$2)*Data!$W$3</f>
        <v>1.6291666666666667</v>
      </c>
      <c r="G14" s="13" t="str">
        <f>IF(H4&gt;Data!AC23,"&lt;&lt;&lt;","A RMS")</f>
        <v>A RMS</v>
      </c>
      <c r="H14" s="14">
        <f>(((VLOOKUP($H$9,Data!$W$4:$Z$62,2,FALSE)*$I$9)+(VLOOKUP($H$10,Data!$W$4:$Z$62,2,FALSE)*$I$10))/$E$2)*Data!$W$3</f>
        <v>1.6291666666666667</v>
      </c>
      <c r="I14" s="13" t="str">
        <f>IF(H4&gt;Data!AC23,"&lt;&lt;&lt;","A RMS")</f>
        <v>A RMS</v>
      </c>
      <c r="J14" s="14">
        <f>(((VLOOKUP($J$9,Data!$W$4:$Z$62,2,FALSE)*$K$9)+(VLOOKUP($J$10,Data!$W$4:$Z$62,2,FALSE)*$K$10))/$E$2)*Data!$W$3</f>
        <v>1.6291666666666667</v>
      </c>
      <c r="K14" s="15" t="str">
        <f>IF(H4&gt;Data!AC23,"&lt;&lt;&lt;","A RMS")</f>
        <v>A RMS</v>
      </c>
      <c r="L14" s="12">
        <f>(((VLOOKUP($L$9,Data!$W$4:$Z$62,2,FALSE)*$M$9)+(VLOOKUP($L$10,Data!$W$4:$Z$62,2,FALSE)*$M$10))/$E$2)*Data!$W$3</f>
        <v>1.7250000000000001</v>
      </c>
      <c r="M14" s="13" t="str">
        <f>IF(N4&gt;Data!AC23,"&lt;&lt;&lt;","A RMS")</f>
        <v>A RMS</v>
      </c>
      <c r="N14" s="14">
        <f>(((VLOOKUP($N$9,Data!$W$4:$Z$62,2,FALSE)*$O$9)+(VLOOKUP($N$10,Data!$W$4:$Z$62,2,FALSE)*$O$10))/$E$2)*Data!$W$3</f>
        <v>1.7250000000000001</v>
      </c>
      <c r="O14" s="13" t="str">
        <f>IF(N4&gt;Data!AC23,"&lt;&lt;&lt;","A RMS")</f>
        <v>A RMS</v>
      </c>
      <c r="P14" s="14">
        <f>(((VLOOKUP($P$9,Data!$W$4:$Z$62,2,FALSE)*$Q$9)+(VLOOKUP($P$10,Data!$W$4:$Z$62,2,FALSE)*$Q$10))/$E$2)*Data!$W$3</f>
        <v>1.7250000000000001</v>
      </c>
      <c r="Q14" s="13" t="str">
        <f>IF(N4&gt;Data!AC23,"&lt;&lt;&lt;","A RMS")</f>
        <v>A RMS</v>
      </c>
      <c r="R14" s="14">
        <f>(((VLOOKUP($R$9,Data!$W$4:$Z$62,2,FALSE)*$S$9)+(VLOOKUP($R$10,Data!$W$4:$Z$62,2,FALSE)*$S$10))/$E$2)*Data!$W$3</f>
        <v>1.7250000000000001</v>
      </c>
      <c r="S14" s="15" t="str">
        <f>IF(N4&gt;Data!AC23,"&lt;&lt;&lt;","A RMS")</f>
        <v>A RMS</v>
      </c>
      <c r="T14" s="1"/>
      <c r="V14" t="s">
        <v>208</v>
      </c>
      <c r="W14">
        <f>SUM(W9:W12)</f>
        <v>0</v>
      </c>
    </row>
    <row r="15" spans="1:23" ht="16" x14ac:dyDescent="0.2">
      <c r="A15" s="1"/>
      <c r="B15" s="23" t="s">
        <v>199</v>
      </c>
      <c r="C15" s="1"/>
      <c r="D15" s="12">
        <f>(((VLOOKUP($D$9,Data!$W$4:$Z$62,3,FALSE)*$E$9)+(VLOOKUP($D$10,Data!$W$4:$Z$62,3,FALSE)*$E$10))/$E$2)*Data!$W$3</f>
        <v>2.4916666666666667</v>
      </c>
      <c r="E15" s="13" t="s">
        <v>116</v>
      </c>
      <c r="F15" s="14">
        <f>(((VLOOKUP($F$9,Data!$W$4:$Z$62,3,FALSE)*$G$9)+(VLOOKUP($F$10,Data!$W$4:$Z$62,3,FALSE)*$G$10))/$E$2)*Data!$W$3</f>
        <v>2.4916666666666667</v>
      </c>
      <c r="G15" s="13" t="s">
        <v>116</v>
      </c>
      <c r="H15" s="14">
        <f>(((VLOOKUP($H$9,Data!$W$4:$Z$62,3,FALSE)*$I$9)+(VLOOKUP($H$10,Data!$W$4:$Z$62,3,FALSE)*$I$10))/$E$2)*Data!$W$3</f>
        <v>2.4916666666666667</v>
      </c>
      <c r="I15" s="13" t="s">
        <v>116</v>
      </c>
      <c r="J15" s="14">
        <f>(((VLOOKUP($J$9,Data!$W$4:$Z$62,3,FALSE)*$K$9)+(VLOOKUP($J$10,Data!$W$4:$Z$62,3,FALSE)*$K$10))/$E$2)*Data!$W$3</f>
        <v>2.4916666666666667</v>
      </c>
      <c r="K15" s="15" t="s">
        <v>116</v>
      </c>
      <c r="L15" s="12">
        <f>(((VLOOKUP($L$9,Data!$W$4:$Z$62,3,FALSE)*$M$9)+(VLOOKUP($L$10,Data!$W$4:$Z$62,3,FALSE)*$M$10))/$E$2)*Data!$W$3</f>
        <v>4.8874999999999993</v>
      </c>
      <c r="M15" s="13" t="s">
        <v>116</v>
      </c>
      <c r="N15" s="14">
        <f>(((VLOOKUP($N$9,Data!$W$4:$Z$62,3,FALSE)*$O$9)+(VLOOKUP($N$10,Data!$W$4:$Z$62,3,FALSE)*$O$10))/$E$2)*Data!$W$3</f>
        <v>4.8874999999999993</v>
      </c>
      <c r="O15" s="13" t="s">
        <v>116</v>
      </c>
      <c r="P15" s="14">
        <f>(((VLOOKUP($P$9,Data!$W$4:$Z$62,3,FALSE)*$Q$9)+(VLOOKUP($P$10,Data!$W$4:$Z$62,3,FALSE)*$Q$10))/$E$2)*Data!$W$3</f>
        <v>4.8874999999999993</v>
      </c>
      <c r="Q15" s="13" t="s">
        <v>116</v>
      </c>
      <c r="R15" s="14">
        <f>(((VLOOKUP($R$9,Data!$W$4:$Z$62,3,FALSE)*$S$9)+(VLOOKUP($R$10,Data!$W$4:$Z$62,3,FALSE)*$S$10))/$E$2)*Data!$W$3</f>
        <v>4.8874999999999993</v>
      </c>
      <c r="S15" s="15" t="s">
        <v>116</v>
      </c>
      <c r="T15" s="1"/>
    </row>
    <row r="16" spans="1:23" ht="16" x14ac:dyDescent="0.2">
      <c r="A16" s="1"/>
      <c r="B16" s="23" t="s">
        <v>200</v>
      </c>
      <c r="C16" s="1"/>
      <c r="D16" s="12">
        <f>(((VLOOKUP($D$9,Data!$W$4:$Z$62,4,FALSE)*$E$9)+(VLOOKUP($D$10,Data!$W$4:$Z$62,4,FALSE)*$E$10))/$E$2)*Data!$W$3</f>
        <v>6.6125000000000007</v>
      </c>
      <c r="E16" s="13" t="str">
        <f>IF(D16&gt;Data!$AF$24,"&lt;OVER!","A Pk")</f>
        <v>A Pk</v>
      </c>
      <c r="F16" s="14">
        <f>(((VLOOKUP($F$9,Data!$W$4:$Z$62,4,FALSE)*$G$9)+(VLOOKUP($F$10,Data!$W$4:$Z$62,4,FALSE)*$G$10))/$E$2)*Data!$W$3</f>
        <v>6.6125000000000007</v>
      </c>
      <c r="G16" s="13" t="s">
        <v>117</v>
      </c>
      <c r="H16" s="14">
        <f>(((VLOOKUP($H$9,Data!$W$4:$Z$62,4,FALSE)*$I$9)+(VLOOKUP($H$10,Data!$W$4:$Z$62,4,FALSE)*$I$10))/$E$2)*Data!$W$3</f>
        <v>6.6125000000000007</v>
      </c>
      <c r="I16" s="13" t="s">
        <v>117</v>
      </c>
      <c r="J16" s="14">
        <f>(((VLOOKUP($J$9,Data!$W$4:$Z$62,4,FALSE)*$K$9)+(VLOOKUP($J$10,Data!$W$4:$Z$62,4,FALSE)*$K$10))/$E$2)*Data!$W$3</f>
        <v>6.6125000000000007</v>
      </c>
      <c r="K16" s="15" t="s">
        <v>117</v>
      </c>
      <c r="L16" s="12">
        <f>(((VLOOKUP($L$9,Data!$W$4:$Z$62,4,FALSE)*$M$9)+(VLOOKUP($L$10,Data!$W$4:$Z$62,4,FALSE)*$M$10))/$E$2)*Data!$W$3</f>
        <v>4.7916666666666661</v>
      </c>
      <c r="M16" s="13" t="s">
        <v>117</v>
      </c>
      <c r="N16" s="14">
        <f>(((VLOOKUP($N$9,Data!$W$4:$Z$62,4,FALSE)*$O$9)+(VLOOKUP($N$10,Data!$W$4:$Z$62,4,FALSE)*$O$10))/$E$2)*Data!$W$3</f>
        <v>4.7916666666666661</v>
      </c>
      <c r="O16" s="13" t="s">
        <v>117</v>
      </c>
      <c r="P16" s="14">
        <f>(((VLOOKUP($P$9,Data!$W$4:$Z$62,4,FALSE)*$Q$9)+(VLOOKUP($P$10,Data!$W$4:$Z$62,4,FALSE)*$Q$10))/$E$2)*Data!$W$3</f>
        <v>4.7916666666666661</v>
      </c>
      <c r="Q16" s="13" t="s">
        <v>117</v>
      </c>
      <c r="R16" s="14">
        <f>(((VLOOKUP($R$9,Data!$W$4:$Z$62,4,FALSE)*$S$9)+(VLOOKUP($R$10,Data!$W$4:$Z$62,4,FALSE)*$S$10))/$E$2)*Data!$W$3</f>
        <v>4.7916666666666661</v>
      </c>
      <c r="S16" s="15" t="s">
        <v>117</v>
      </c>
      <c r="T16" s="1"/>
    </row>
    <row r="17" spans="1:36" ht="6" customHeight="1" x14ac:dyDescent="0.2">
      <c r="A17" s="1"/>
      <c r="B17" s="2"/>
      <c r="C17" s="1"/>
      <c r="D17" s="43"/>
      <c r="E17" s="44"/>
      <c r="F17" s="45"/>
      <c r="G17" s="44"/>
      <c r="H17" s="45"/>
      <c r="I17" s="44"/>
      <c r="J17" s="45"/>
      <c r="K17" s="46"/>
      <c r="L17" s="43"/>
      <c r="M17" s="44"/>
      <c r="N17" s="45"/>
      <c r="O17" s="47"/>
      <c r="P17" s="45"/>
      <c r="Q17" s="44"/>
      <c r="R17" s="45"/>
      <c r="S17" s="46"/>
      <c r="T17" s="1"/>
    </row>
    <row r="18" spans="1:36" ht="16" x14ac:dyDescent="0.2">
      <c r="A18" s="1"/>
      <c r="B18" s="23" t="s">
        <v>212</v>
      </c>
      <c r="C18" s="1"/>
      <c r="D18" s="17">
        <f>(17*(10^-8))*(((2*D11)/3.280839895)/(((PI()/4)*((0.127*(92^((36-$R$2)/39)))^2))*(10^-5)))</f>
        <v>0.31320372803044888</v>
      </c>
      <c r="E18" s="13" t="s">
        <v>213</v>
      </c>
      <c r="F18" s="207">
        <f>(17*(10^-8))*(((2*F11)/3.280839895)/(((PI()/4)*((0.127*(92^((36-$R$2)/39)))^2))*(10^-5)))</f>
        <v>0.31320372803044888</v>
      </c>
      <c r="G18" s="13" t="s">
        <v>213</v>
      </c>
      <c r="H18" s="207">
        <f>(17*(10^-8))*(((2*H11)/3.280839895)/(((PI()/4)*((0.127*(92^((36-$R$2)/39)))^2))*(10^-5)))</f>
        <v>0.31320372803044888</v>
      </c>
      <c r="I18" s="13" t="s">
        <v>213</v>
      </c>
      <c r="J18" s="207">
        <f>(17*(10^-8))*(((2*J11)/3.280839895)/(((PI()/4)*((0.127*(92^((36-$R$2)/39)))^2))*(10^-5)))</f>
        <v>0.31320372803044888</v>
      </c>
      <c r="K18" s="15" t="s">
        <v>213</v>
      </c>
      <c r="L18" s="17">
        <f>(17*(10^-8))*(((2*L11)/3.280839895)/(((PI()/4)*((0.127*(92^((36-$R$2)/39)))^2))*(10^-5)))</f>
        <v>0.31320372803044888</v>
      </c>
      <c r="M18" s="13" t="s">
        <v>213</v>
      </c>
      <c r="N18" s="207">
        <f>(17*(10^-8))*(((2*N11)/3.280839895)/(((PI()/4)*((0.127*(92^((36-$R$2)/39)))^2))*(10^-5)))</f>
        <v>0.31320372803044888</v>
      </c>
      <c r="O18" s="13" t="s">
        <v>213</v>
      </c>
      <c r="P18" s="207">
        <f>(17*(10^-8))*(((2*P11)/3.280839895)/(((PI()/4)*((0.127*(92^((36-$R$2)/39)))^2))*(10^-5)))</f>
        <v>0.31320372803044888</v>
      </c>
      <c r="Q18" s="13" t="s">
        <v>213</v>
      </c>
      <c r="R18" s="207">
        <f>(17*(10^-8))*(((2*R11)/3.280839895)/(((PI()/4)*((0.127*(92^((36-$R$2)/39)))^2))*(10^-5)))</f>
        <v>0.31320372803044888</v>
      </c>
      <c r="S18" s="15" t="s">
        <v>213</v>
      </c>
      <c r="T18" s="1"/>
    </row>
    <row r="19" spans="1:36" ht="16" x14ac:dyDescent="0.2">
      <c r="A19" s="1"/>
      <c r="B19" s="23" t="s">
        <v>214</v>
      </c>
      <c r="C19" s="1"/>
      <c r="D19" s="19">
        <f>E2*SQRT(2)</f>
        <v>169.70562748477141</v>
      </c>
      <c r="E19" s="16" t="s">
        <v>215</v>
      </c>
      <c r="F19" s="20">
        <f>E2*SQRT(2)</f>
        <v>169.70562748477141</v>
      </c>
      <c r="G19" s="16" t="s">
        <v>215</v>
      </c>
      <c r="H19" s="20">
        <f>E2*SQRT(2)</f>
        <v>169.70562748477141</v>
      </c>
      <c r="I19" s="16" t="s">
        <v>215</v>
      </c>
      <c r="J19" s="20">
        <f>E2*SQRT(2)</f>
        <v>169.70562748477141</v>
      </c>
      <c r="K19" s="15" t="s">
        <v>215</v>
      </c>
      <c r="L19" s="19">
        <f>E2*SQRT(2)</f>
        <v>169.70562748477141</v>
      </c>
      <c r="M19" s="16" t="s">
        <v>215</v>
      </c>
      <c r="N19" s="20">
        <f>E2*SQRT(2)</f>
        <v>169.70562748477141</v>
      </c>
      <c r="O19" s="16" t="s">
        <v>215</v>
      </c>
      <c r="P19" s="20">
        <f>E2*SQRT(2)</f>
        <v>169.70562748477141</v>
      </c>
      <c r="Q19" s="16" t="s">
        <v>215</v>
      </c>
      <c r="R19" s="20">
        <f>E2*SQRT(2)</f>
        <v>169.70562748477141</v>
      </c>
      <c r="S19" s="15" t="s">
        <v>215</v>
      </c>
      <c r="T19" s="1"/>
    </row>
    <row r="20" spans="1:36" ht="16" x14ac:dyDescent="0.2">
      <c r="A20" s="1"/>
      <c r="B20" s="23" t="s">
        <v>223</v>
      </c>
      <c r="C20" s="1"/>
      <c r="D20" s="12">
        <f>D16*D18</f>
        <v>2.0710596516013435</v>
      </c>
      <c r="E20" s="16" t="s">
        <v>215</v>
      </c>
      <c r="F20" s="14">
        <f>F16*F18</f>
        <v>2.0710596516013435</v>
      </c>
      <c r="G20" s="16" t="s">
        <v>215</v>
      </c>
      <c r="H20" s="14">
        <f>H16*H18</f>
        <v>2.0710596516013435</v>
      </c>
      <c r="I20" s="16" t="s">
        <v>215</v>
      </c>
      <c r="J20" s="14">
        <f>J16*J18</f>
        <v>2.0710596516013435</v>
      </c>
      <c r="K20" s="15" t="s">
        <v>215</v>
      </c>
      <c r="L20" s="12">
        <f>L16*L18</f>
        <v>1.5007678634792341</v>
      </c>
      <c r="M20" s="16" t="s">
        <v>215</v>
      </c>
      <c r="N20" s="14">
        <f>N16*N18</f>
        <v>1.5007678634792341</v>
      </c>
      <c r="O20" s="16" t="s">
        <v>215</v>
      </c>
      <c r="P20" s="14">
        <f>P16*P18</f>
        <v>1.5007678634792341</v>
      </c>
      <c r="Q20" s="16" t="s">
        <v>215</v>
      </c>
      <c r="R20" s="14">
        <f>R16*R18</f>
        <v>1.5007678634792341</v>
      </c>
      <c r="S20" s="15" t="s">
        <v>215</v>
      </c>
      <c r="T20" s="1"/>
    </row>
    <row r="21" spans="1:36" ht="16" x14ac:dyDescent="0.2">
      <c r="A21" s="1"/>
      <c r="B21" s="23" t="s">
        <v>225</v>
      </c>
      <c r="C21" s="1"/>
      <c r="D21" s="19">
        <f>D19-D20</f>
        <v>167.63456783317008</v>
      </c>
      <c r="E21" s="16" t="s">
        <v>215</v>
      </c>
      <c r="F21" s="20">
        <f>F19-F20</f>
        <v>167.63456783317008</v>
      </c>
      <c r="G21" s="16" t="s">
        <v>215</v>
      </c>
      <c r="H21" s="20">
        <f>H19-H20</f>
        <v>167.63456783317008</v>
      </c>
      <c r="I21" s="16" t="s">
        <v>215</v>
      </c>
      <c r="J21" s="20">
        <f>J19-J20</f>
        <v>167.63456783317008</v>
      </c>
      <c r="K21" s="15" t="s">
        <v>215</v>
      </c>
      <c r="L21" s="19">
        <f>L19-L20</f>
        <v>168.20485962129217</v>
      </c>
      <c r="M21" s="16" t="s">
        <v>215</v>
      </c>
      <c r="N21" s="20">
        <f>N19-N20</f>
        <v>168.20485962129217</v>
      </c>
      <c r="O21" s="16" t="s">
        <v>215</v>
      </c>
      <c r="P21" s="20">
        <f>P19-P20</f>
        <v>168.20485962129217</v>
      </c>
      <c r="Q21" s="16" t="s">
        <v>215</v>
      </c>
      <c r="R21" s="20">
        <f>R19-R20</f>
        <v>168.20485962129217</v>
      </c>
      <c r="S21" s="15" t="s">
        <v>215</v>
      </c>
      <c r="T21" s="1"/>
    </row>
    <row r="22" spans="1:36" ht="17" thickBot="1" x14ac:dyDescent="0.25">
      <c r="A22" s="1"/>
      <c r="B22" s="24" t="s">
        <v>227</v>
      </c>
      <c r="C22" s="1"/>
      <c r="D22" s="141">
        <f>(D20*100)/D19</f>
        <v>1.2203836032409654</v>
      </c>
      <c r="E22" s="21" t="str">
        <f>IF(D22&gt;Data!AC27,"&lt;OVER!","% V Pk")</f>
        <v>% V Pk</v>
      </c>
      <c r="F22" s="142">
        <f>(F20*100)/F19</f>
        <v>1.2203836032409654</v>
      </c>
      <c r="G22" s="21" t="str">
        <f>IF(F22&gt;Data!AC27,"&lt;OVER!","% V Pk")</f>
        <v>% V Pk</v>
      </c>
      <c r="H22" s="142">
        <f>(H20*100)/H19</f>
        <v>1.2203836032409654</v>
      </c>
      <c r="I22" s="21" t="str">
        <f>IF(H22&gt;Data!AC27,"&lt;OVER!","% V Pk")</f>
        <v>% V Pk</v>
      </c>
      <c r="J22" s="142">
        <f>(J20*100)/J19</f>
        <v>1.2203836032409654</v>
      </c>
      <c r="K22" s="21" t="str">
        <f>IF(J22&gt;Data!AC27,"&lt;OVER!","% V Pk")</f>
        <v>% V Pk</v>
      </c>
      <c r="L22" s="141">
        <f>(L20*100)/L19</f>
        <v>0.88433594437751106</v>
      </c>
      <c r="M22" s="21" t="str">
        <f>IF(L22&gt;Data!AC27,"&lt;OVER!","% V Pk")</f>
        <v>% V Pk</v>
      </c>
      <c r="N22" s="142">
        <f>(N20*100)/N19</f>
        <v>0.88433594437751106</v>
      </c>
      <c r="O22" s="21" t="str">
        <f>IF(N22&gt;Data!AC27,"&lt;OVER!","% V Pk")</f>
        <v>% V Pk</v>
      </c>
      <c r="P22" s="142">
        <f>(P20*100)/P19</f>
        <v>0.88433594437751106</v>
      </c>
      <c r="Q22" s="21" t="str">
        <f>IF(P22&gt;Data!AC27,"&lt;OVER!","% V Pk")</f>
        <v>% V Pk</v>
      </c>
      <c r="R22" s="142">
        <f>(R20*100)/R19</f>
        <v>0.88433594437751106</v>
      </c>
      <c r="S22" s="22" t="str">
        <f>IF(R22&gt;Data!AC27,"&lt;OVER!","% V Pk")</f>
        <v>% V Pk</v>
      </c>
      <c r="T22" s="1"/>
      <c r="U22" s="571" t="s">
        <v>322</v>
      </c>
      <c r="W22" s="89"/>
      <c r="X22" s="90" t="s">
        <v>162</v>
      </c>
      <c r="Y22" s="90" t="s">
        <v>248</v>
      </c>
      <c r="Z22" s="90" t="s">
        <v>249</v>
      </c>
      <c r="AA22" s="90"/>
      <c r="AB22" s="89"/>
      <c r="AC22" s="90" t="s">
        <v>217</v>
      </c>
      <c r="AD22" s="90" t="s">
        <v>218</v>
      </c>
      <c r="AE22" s="90" t="s">
        <v>219</v>
      </c>
      <c r="AF22" s="90" t="s">
        <v>220</v>
      </c>
      <c r="AG22" s="90" t="s">
        <v>221</v>
      </c>
      <c r="AH22" s="90" t="s">
        <v>222</v>
      </c>
      <c r="AI22" s="90" t="s">
        <v>250</v>
      </c>
      <c r="AJ22" s="90" t="s">
        <v>251</v>
      </c>
    </row>
    <row r="23" spans="1:36" ht="16" x14ac:dyDescent="0.2">
      <c r="A23" s="1"/>
      <c r="B23" s="1"/>
      <c r="C23" s="1"/>
      <c r="D23" s="1"/>
      <c r="E23" s="1"/>
      <c r="F23" s="1"/>
      <c r="G23" s="1"/>
      <c r="H23" s="1"/>
      <c r="I23" s="1"/>
      <c r="J23" s="1"/>
      <c r="K23" s="1"/>
      <c r="L23" s="1"/>
      <c r="M23" s="1"/>
      <c r="N23" s="1"/>
      <c r="O23" s="1"/>
      <c r="P23" s="1"/>
      <c r="Q23" s="1"/>
      <c r="R23" s="1"/>
      <c r="S23" s="1"/>
      <c r="T23" s="1"/>
      <c r="U23" s="571"/>
      <c r="W23" s="89" t="s">
        <v>224</v>
      </c>
      <c r="X23" s="90">
        <f>Data!$AC$6</f>
        <v>32</v>
      </c>
      <c r="Y23" s="90">
        <f>Data!AC23</f>
        <v>15</v>
      </c>
      <c r="Z23" s="90">
        <f>Data!AC23</f>
        <v>15</v>
      </c>
      <c r="AA23" s="90"/>
      <c r="AB23" s="89" t="s">
        <v>109</v>
      </c>
      <c r="AC23" s="90">
        <f>'US MDM-832'!D14</f>
        <v>1.6291666666666667</v>
      </c>
      <c r="AD23" s="90">
        <f>'US MDM-832'!F14</f>
        <v>1.6291666666666667</v>
      </c>
      <c r="AE23" s="90">
        <f>'US MDM-832'!H14</f>
        <v>1.6291666666666667</v>
      </c>
      <c r="AF23" s="90">
        <f>'US MDM-832'!J14</f>
        <v>1.6291666666666667</v>
      </c>
      <c r="AG23" s="90">
        <f>'US MDM-832'!L14</f>
        <v>1.7250000000000001</v>
      </c>
      <c r="AH23" s="90">
        <f>'US MDM-832'!N14</f>
        <v>1.7250000000000001</v>
      </c>
      <c r="AI23" s="90">
        <f>'US MDM-832'!P14</f>
        <v>1.7250000000000001</v>
      </c>
      <c r="AJ23" s="90">
        <f>'US MDM-832'!R14</f>
        <v>1.7250000000000001</v>
      </c>
    </row>
    <row r="24" spans="1:36" ht="16" x14ac:dyDescent="0.2">
      <c r="A24" s="1"/>
      <c r="B24" s="1"/>
      <c r="C24" s="1"/>
      <c r="D24" s="1"/>
      <c r="E24" s="1"/>
      <c r="F24" s="1"/>
      <c r="G24" s="1"/>
      <c r="H24" s="1"/>
      <c r="I24" s="1"/>
      <c r="J24" s="1"/>
      <c r="K24" s="1"/>
      <c r="L24" s="1"/>
      <c r="M24" s="1"/>
      <c r="N24" s="1"/>
      <c r="O24" s="1"/>
      <c r="P24" s="1"/>
      <c r="Q24" s="1"/>
      <c r="R24" s="1"/>
      <c r="S24" s="1"/>
      <c r="T24" s="1"/>
      <c r="U24" s="571"/>
      <c r="W24" s="89"/>
      <c r="X24" s="90"/>
      <c r="Y24" s="90"/>
      <c r="Z24" s="90"/>
      <c r="AA24" s="90"/>
      <c r="AB24" s="89"/>
      <c r="AC24" s="90"/>
      <c r="AD24" s="90"/>
      <c r="AE24" s="90"/>
      <c r="AF24" s="90"/>
      <c r="AG24" s="90"/>
      <c r="AH24" s="90"/>
      <c r="AI24" s="90"/>
      <c r="AJ24" s="90"/>
    </row>
    <row r="25" spans="1:36" ht="16" x14ac:dyDescent="0.2">
      <c r="A25" s="1"/>
      <c r="B25" s="1"/>
      <c r="C25" s="1"/>
      <c r="D25" s="1"/>
      <c r="E25" s="1"/>
      <c r="F25" s="1"/>
      <c r="G25" s="1"/>
      <c r="H25" s="1"/>
      <c r="I25" s="1"/>
      <c r="J25" s="1"/>
      <c r="K25" s="1"/>
      <c r="L25" s="1"/>
      <c r="M25" s="1"/>
      <c r="N25" s="1"/>
      <c r="O25" s="1"/>
      <c r="P25" s="1"/>
      <c r="Q25" s="1"/>
      <c r="R25" s="1"/>
      <c r="S25" s="1"/>
      <c r="T25" s="1"/>
      <c r="U25" s="571"/>
      <c r="W25" s="89" t="str">
        <f>'US MDM-832'!B4</f>
        <v>MLTC RMS +30%</v>
      </c>
      <c r="X25" s="90">
        <f>'US MDM-832'!$D$4</f>
        <v>17.441666666666666</v>
      </c>
      <c r="Y25" s="90">
        <f>'US MDM-832'!$H4</f>
        <v>6.5166666666666666</v>
      </c>
      <c r="Z25" s="92">
        <f>'US MDM-832'!$N4</f>
        <v>6.9</v>
      </c>
      <c r="AA25" s="90"/>
      <c r="AB25" s="89"/>
      <c r="AC25" s="90"/>
      <c r="AD25" s="90"/>
      <c r="AE25" s="90"/>
      <c r="AF25" s="90"/>
      <c r="AG25" s="90"/>
      <c r="AH25" s="90"/>
      <c r="AI25" s="90"/>
      <c r="AJ25" s="90"/>
    </row>
    <row r="26" spans="1:36" ht="16" x14ac:dyDescent="0.2">
      <c r="A26" s="1"/>
      <c r="B26" s="1"/>
      <c r="C26" s="1"/>
      <c r="D26" s="1"/>
      <c r="E26" s="1"/>
      <c r="F26" s="1"/>
      <c r="G26" s="1"/>
      <c r="H26" s="1"/>
      <c r="I26" s="1"/>
      <c r="J26" s="1"/>
      <c r="K26" s="1"/>
      <c r="L26" s="1"/>
      <c r="M26" s="1"/>
      <c r="N26" s="1"/>
      <c r="O26" s="1"/>
      <c r="P26" s="1"/>
      <c r="Q26" s="1"/>
      <c r="R26" s="1"/>
      <c r="S26" s="1"/>
      <c r="T26" s="1"/>
      <c r="U26" s="571"/>
      <c r="W26" s="89" t="str">
        <f>'US MDM-832'!B5</f>
        <v>Burst RMS</v>
      </c>
      <c r="X26" s="90">
        <f>'US MDM-832'!$D$5</f>
        <v>29.516666666666666</v>
      </c>
      <c r="Y26" s="90">
        <f>'US MDM-832'!$H5</f>
        <v>9.9666666666666668</v>
      </c>
      <c r="Z26" s="92">
        <f>'US MDM-832'!$N5</f>
        <v>19.549999999999997</v>
      </c>
      <c r="AA26" s="90"/>
      <c r="AB26" s="89" t="s">
        <v>228</v>
      </c>
      <c r="AC26" s="90">
        <f>(100*AC23)/$Y$23</f>
        <v>10.861111111111111</v>
      </c>
      <c r="AD26" s="90">
        <f>(100*AD23)/$Y$23</f>
        <v>10.861111111111111</v>
      </c>
      <c r="AE26" s="90">
        <f>(100*AE23)/$Y$23</f>
        <v>10.861111111111111</v>
      </c>
      <c r="AF26" s="90">
        <f>(100*AF23)/$Y$23</f>
        <v>10.861111111111111</v>
      </c>
      <c r="AG26" s="90">
        <f>(100*AG23)/$Z$23</f>
        <v>11.5</v>
      </c>
      <c r="AH26" s="90">
        <f>(100*AH23)/$Z$23</f>
        <v>11.5</v>
      </c>
      <c r="AI26" s="90">
        <f>(100*AI23)/$Z$23</f>
        <v>11.5</v>
      </c>
      <c r="AJ26" s="90">
        <f>(100*AJ23)/$Z$23</f>
        <v>11.5</v>
      </c>
    </row>
    <row r="27" spans="1:36" ht="16" x14ac:dyDescent="0.2">
      <c r="A27" s="1"/>
      <c r="B27" s="1"/>
      <c r="C27" s="1"/>
      <c r="D27" s="1"/>
      <c r="E27" s="1"/>
      <c r="F27" s="1"/>
      <c r="G27" s="1"/>
      <c r="H27" s="1"/>
      <c r="I27" s="1"/>
      <c r="J27" s="1"/>
      <c r="K27" s="1"/>
      <c r="L27" s="1"/>
      <c r="M27" s="1"/>
      <c r="N27" s="1"/>
      <c r="O27" s="1"/>
      <c r="P27" s="1"/>
      <c r="Q27" s="1"/>
      <c r="R27" s="1"/>
      <c r="S27" s="1"/>
      <c r="T27" s="1"/>
      <c r="U27" s="571"/>
      <c r="W27" s="89" t="str">
        <f>'US MDM-832'!B6</f>
        <v>Max Inst Pk</v>
      </c>
      <c r="X27" s="90">
        <f>'US MDM-832'!$D$6</f>
        <v>45.61666666666666</v>
      </c>
      <c r="Y27" s="90">
        <f>'US MDM-832'!$H6</f>
        <v>26.450000000000003</v>
      </c>
      <c r="Z27" s="92">
        <f>'US MDM-832'!$N6</f>
        <v>19.166666666666664</v>
      </c>
      <c r="AA27" s="90"/>
      <c r="AB27" s="89" t="s">
        <v>229</v>
      </c>
      <c r="AC27" s="90">
        <f t="shared" ref="AC27:AJ27" si="0">AC26-100</f>
        <v>-89.138888888888886</v>
      </c>
      <c r="AD27" s="90">
        <f t="shared" si="0"/>
        <v>-89.138888888888886</v>
      </c>
      <c r="AE27" s="90">
        <f t="shared" si="0"/>
        <v>-89.138888888888886</v>
      </c>
      <c r="AF27" s="90">
        <f t="shared" si="0"/>
        <v>-89.138888888888886</v>
      </c>
      <c r="AG27" s="90">
        <f t="shared" si="0"/>
        <v>-88.5</v>
      </c>
      <c r="AH27" s="90">
        <f t="shared" si="0"/>
        <v>-88.5</v>
      </c>
      <c r="AI27" s="90">
        <f t="shared" si="0"/>
        <v>-88.5</v>
      </c>
      <c r="AJ27" s="90">
        <f t="shared" si="0"/>
        <v>-88.5</v>
      </c>
    </row>
    <row r="28" spans="1:36" ht="16" x14ac:dyDescent="0.2">
      <c r="A28" s="1"/>
      <c r="B28" s="1"/>
      <c r="C28" s="1"/>
      <c r="D28" s="1"/>
      <c r="E28" s="1"/>
      <c r="F28" s="1"/>
      <c r="G28" s="1"/>
      <c r="H28" s="1"/>
      <c r="I28" s="1"/>
      <c r="J28" s="1"/>
      <c r="K28" s="1"/>
      <c r="L28" s="1"/>
      <c r="M28" s="1"/>
      <c r="N28" s="1"/>
      <c r="O28" s="1"/>
      <c r="P28" s="1"/>
      <c r="Q28" s="1"/>
      <c r="R28" s="1"/>
      <c r="S28" s="1"/>
      <c r="T28" s="1"/>
      <c r="U28" s="571"/>
      <c r="W28" s="89"/>
      <c r="X28" s="90"/>
      <c r="Y28" s="90"/>
      <c r="Z28" s="90"/>
      <c r="AA28" s="90"/>
      <c r="AB28" s="89" t="s">
        <v>230</v>
      </c>
      <c r="AC28" s="90">
        <f t="shared" ref="AC28:AJ28" si="1">IF(AC27&lt;0,AC26,100)</f>
        <v>10.861111111111111</v>
      </c>
      <c r="AD28" s="90">
        <f t="shared" si="1"/>
        <v>10.861111111111111</v>
      </c>
      <c r="AE28" s="90">
        <f t="shared" si="1"/>
        <v>10.861111111111111</v>
      </c>
      <c r="AF28" s="90">
        <f t="shared" si="1"/>
        <v>10.861111111111111</v>
      </c>
      <c r="AG28" s="90">
        <f t="shared" si="1"/>
        <v>11.5</v>
      </c>
      <c r="AH28" s="90">
        <f t="shared" si="1"/>
        <v>11.5</v>
      </c>
      <c r="AI28" s="90">
        <f t="shared" si="1"/>
        <v>11.5</v>
      </c>
      <c r="AJ28" s="90">
        <f t="shared" si="1"/>
        <v>11.5</v>
      </c>
    </row>
    <row r="29" spans="1:36" ht="16" x14ac:dyDescent="0.2">
      <c r="A29" s="1"/>
      <c r="B29" s="1"/>
      <c r="C29" s="1"/>
      <c r="D29" s="1"/>
      <c r="E29" s="1"/>
      <c r="F29" s="1"/>
      <c r="G29" s="1"/>
      <c r="H29" s="1"/>
      <c r="I29" s="1"/>
      <c r="J29" s="1"/>
      <c r="K29" s="1"/>
      <c r="L29" s="1"/>
      <c r="M29" s="1"/>
      <c r="N29" s="1"/>
      <c r="O29" s="1"/>
      <c r="P29" s="1"/>
      <c r="Q29" s="1"/>
      <c r="R29" s="1"/>
      <c r="S29" s="1"/>
      <c r="T29" s="1"/>
      <c r="U29" s="571"/>
      <c r="W29" s="89"/>
      <c r="X29" s="90"/>
      <c r="Y29" s="90"/>
      <c r="Z29" s="90"/>
      <c r="AA29" s="90"/>
      <c r="AB29" s="89" t="s">
        <v>231</v>
      </c>
      <c r="AC29" s="90" t="e">
        <f t="shared" ref="AC29:AJ29" si="2">IF(AC26&gt;100,AC26-AC28,NA())</f>
        <v>#N/A</v>
      </c>
      <c r="AD29" s="90" t="e">
        <f t="shared" si="2"/>
        <v>#N/A</v>
      </c>
      <c r="AE29" s="90" t="e">
        <f t="shared" si="2"/>
        <v>#N/A</v>
      </c>
      <c r="AF29" s="90" t="e">
        <f t="shared" si="2"/>
        <v>#N/A</v>
      </c>
      <c r="AG29" s="90" t="e">
        <f t="shared" si="2"/>
        <v>#N/A</v>
      </c>
      <c r="AH29" s="90" t="e">
        <f t="shared" si="2"/>
        <v>#N/A</v>
      </c>
      <c r="AI29" s="90" t="e">
        <f t="shared" si="2"/>
        <v>#N/A</v>
      </c>
      <c r="AJ29" s="90" t="e">
        <f t="shared" si="2"/>
        <v>#N/A</v>
      </c>
    </row>
    <row r="30" spans="1:36" ht="16" x14ac:dyDescent="0.2">
      <c r="A30" s="1"/>
      <c r="B30" s="1"/>
      <c r="C30" s="1"/>
      <c r="D30" s="1"/>
      <c r="E30" s="1"/>
      <c r="F30" s="1"/>
      <c r="G30" s="1"/>
      <c r="H30" s="1"/>
      <c r="I30" s="1"/>
      <c r="J30" s="1"/>
      <c r="K30" s="1"/>
      <c r="L30" s="1"/>
      <c r="M30" s="1"/>
      <c r="N30" s="1"/>
      <c r="O30" s="1"/>
      <c r="P30" s="1"/>
      <c r="Q30" s="1"/>
      <c r="R30" s="1"/>
      <c r="S30" s="1"/>
      <c r="T30" s="1"/>
      <c r="U30" s="571"/>
      <c r="W30" s="89" t="s">
        <v>228</v>
      </c>
      <c r="X30" s="90">
        <f>(100*X25)/X23</f>
        <v>54.505208333333336</v>
      </c>
      <c r="Y30" s="90">
        <f>(100*Y25)/Y23</f>
        <v>43.444444444444443</v>
      </c>
      <c r="Z30" s="90">
        <f>(100*Z25)/Z23</f>
        <v>46</v>
      </c>
      <c r="AA30" s="90"/>
      <c r="AB30" s="89" t="s">
        <v>232</v>
      </c>
      <c r="AC30" s="90">
        <f>Data!$AC$13</f>
        <v>10</v>
      </c>
      <c r="AD30" s="90">
        <f>Data!$AC$13</f>
        <v>10</v>
      </c>
      <c r="AE30" s="90">
        <f>Data!$AC$13</f>
        <v>10</v>
      </c>
      <c r="AF30" s="90">
        <f>Data!$AC$13</f>
        <v>10</v>
      </c>
      <c r="AG30" s="90">
        <f>Data!$AC$13</f>
        <v>10</v>
      </c>
      <c r="AH30" s="90">
        <f>Data!$AC$13</f>
        <v>10</v>
      </c>
      <c r="AI30" s="90">
        <f>Data!$AC$13</f>
        <v>10</v>
      </c>
      <c r="AJ30" s="90">
        <f>Data!$AC$13</f>
        <v>10</v>
      </c>
    </row>
    <row r="31" spans="1:36" ht="16" x14ac:dyDescent="0.2">
      <c r="A31" s="1"/>
      <c r="B31" s="1"/>
      <c r="C31" s="1"/>
      <c r="D31" s="1"/>
      <c r="E31" s="1"/>
      <c r="F31" s="1"/>
      <c r="G31" s="1"/>
      <c r="H31" s="1"/>
      <c r="I31" s="1"/>
      <c r="J31" s="1"/>
      <c r="K31" s="1"/>
      <c r="L31" s="1"/>
      <c r="M31" s="1"/>
      <c r="N31" s="1"/>
      <c r="O31" s="1"/>
      <c r="P31" s="1"/>
      <c r="Q31" s="1"/>
      <c r="R31" s="1"/>
      <c r="S31" s="1"/>
      <c r="T31" s="1"/>
      <c r="U31" s="571"/>
      <c r="W31" s="89" t="s">
        <v>229</v>
      </c>
      <c r="X31" s="90">
        <f>X30-100</f>
        <v>-45.494791666666664</v>
      </c>
      <c r="Y31" s="90">
        <f>Y30-100</f>
        <v>-56.555555555555557</v>
      </c>
      <c r="Z31" s="90">
        <f>Z30-100</f>
        <v>-54</v>
      </c>
      <c r="AA31" s="90"/>
      <c r="AB31" s="89" t="s">
        <v>233</v>
      </c>
      <c r="AC31" s="92">
        <f>-'US MDM-832'!$D$22</f>
        <v>-1.2203836032409654</v>
      </c>
      <c r="AD31" s="92">
        <f>-'US MDM-832'!$F$22</f>
        <v>-1.2203836032409654</v>
      </c>
      <c r="AE31" s="92">
        <f>-'US MDM-832'!$H$22</f>
        <v>-1.2203836032409654</v>
      </c>
      <c r="AF31" s="92">
        <f>-'US MDM-832'!$J$22</f>
        <v>-1.2203836032409654</v>
      </c>
      <c r="AG31" s="92">
        <f>-'US MDM-832'!$L$22</f>
        <v>-0.88433594437751106</v>
      </c>
      <c r="AH31" s="92">
        <f>-'US MDM-832'!$N$22</f>
        <v>-0.88433594437751106</v>
      </c>
      <c r="AI31" s="92">
        <f>-'US MDM-832'!$P$22</f>
        <v>-0.88433594437751106</v>
      </c>
      <c r="AJ31" s="92">
        <f>-'US MDM-832'!$R$22</f>
        <v>-0.88433594437751106</v>
      </c>
    </row>
    <row r="32" spans="1:36" ht="16" x14ac:dyDescent="0.2">
      <c r="A32" s="1"/>
      <c r="B32" s="1"/>
      <c r="C32" s="1"/>
      <c r="D32" s="1"/>
      <c r="E32" s="1"/>
      <c r="F32" s="1"/>
      <c r="G32" s="1"/>
      <c r="H32" s="1"/>
      <c r="I32" s="1"/>
      <c r="J32" s="1"/>
      <c r="K32" s="1"/>
      <c r="L32" s="1"/>
      <c r="M32" s="1"/>
      <c r="N32" s="1"/>
      <c r="O32" s="1"/>
      <c r="P32" s="1"/>
      <c r="Q32" s="1"/>
      <c r="R32" s="1"/>
      <c r="S32" s="1"/>
      <c r="T32" s="1"/>
      <c r="U32" s="571"/>
      <c r="W32" s="89" t="s">
        <v>230</v>
      </c>
      <c r="X32" s="90">
        <f>IF(X31&lt;0,X30,100)</f>
        <v>54.505208333333336</v>
      </c>
      <c r="Y32" s="90">
        <f>IF(Y31&lt;0,Y30,100)</f>
        <v>43.444444444444443</v>
      </c>
      <c r="Z32" s="90">
        <f>IF(Z31&lt;0,Z30,100)</f>
        <v>46</v>
      </c>
      <c r="AA32" s="90"/>
      <c r="AB32" s="89" t="s">
        <v>234</v>
      </c>
      <c r="AC32" s="90">
        <f t="shared" ref="AC32:AJ32" si="3">IF(AC31&gt;-AC30,AC31,-AC30)</f>
        <v>-1.2203836032409654</v>
      </c>
      <c r="AD32" s="90">
        <f t="shared" si="3"/>
        <v>-1.2203836032409654</v>
      </c>
      <c r="AE32" s="90">
        <f t="shared" si="3"/>
        <v>-1.2203836032409654</v>
      </c>
      <c r="AF32" s="90">
        <f t="shared" si="3"/>
        <v>-1.2203836032409654</v>
      </c>
      <c r="AG32" s="90">
        <f t="shared" si="3"/>
        <v>-0.88433594437751106</v>
      </c>
      <c r="AH32" s="90">
        <f t="shared" si="3"/>
        <v>-0.88433594437751106</v>
      </c>
      <c r="AI32" s="90">
        <f t="shared" si="3"/>
        <v>-0.88433594437751106</v>
      </c>
      <c r="AJ32" s="90">
        <f t="shared" si="3"/>
        <v>-0.88433594437751106</v>
      </c>
    </row>
    <row r="33" spans="1:36" ht="16" x14ac:dyDescent="0.2">
      <c r="A33" s="1"/>
      <c r="B33" s="1"/>
      <c r="C33" s="1"/>
      <c r="D33" s="1"/>
      <c r="E33" s="1"/>
      <c r="F33" s="1"/>
      <c r="G33" s="1"/>
      <c r="H33" s="1"/>
      <c r="I33" s="1"/>
      <c r="J33" s="1"/>
      <c r="K33" s="1"/>
      <c r="L33" s="1"/>
      <c r="M33" s="1"/>
      <c r="N33" s="1"/>
      <c r="O33" s="1"/>
      <c r="P33" s="1"/>
      <c r="Q33" s="1"/>
      <c r="R33" s="1"/>
      <c r="S33" s="1"/>
      <c r="T33" s="1"/>
      <c r="U33" s="571"/>
      <c r="W33" s="89" t="s">
        <v>231</v>
      </c>
      <c r="X33" s="90" t="e">
        <f>IF(X30&gt;100,X30-X32,NA())</f>
        <v>#N/A</v>
      </c>
      <c r="Y33" s="90" t="e">
        <f>IF(Y30&gt;100,Y30-Y32,NA())</f>
        <v>#N/A</v>
      </c>
      <c r="Z33" s="90" t="e">
        <f>IF(Z30&gt;100,Z30-Z32,NA())</f>
        <v>#N/A</v>
      </c>
      <c r="AA33" s="90"/>
      <c r="AB33" s="89" t="s">
        <v>235</v>
      </c>
      <c r="AC33" s="90" t="e">
        <f t="shared" ref="AC33:AJ33" si="4">IF(AC31&gt;-AC30,NA(),AC31+AC30)</f>
        <v>#N/A</v>
      </c>
      <c r="AD33" s="90" t="e">
        <f t="shared" si="4"/>
        <v>#N/A</v>
      </c>
      <c r="AE33" s="90" t="e">
        <f t="shared" si="4"/>
        <v>#N/A</v>
      </c>
      <c r="AF33" s="90" t="e">
        <f t="shared" si="4"/>
        <v>#N/A</v>
      </c>
      <c r="AG33" s="90" t="e">
        <f t="shared" si="4"/>
        <v>#N/A</v>
      </c>
      <c r="AH33" s="90" t="e">
        <f t="shared" si="4"/>
        <v>#N/A</v>
      </c>
      <c r="AI33" s="90" t="e">
        <f t="shared" si="4"/>
        <v>#N/A</v>
      </c>
      <c r="AJ33" s="90" t="e">
        <f t="shared" si="4"/>
        <v>#N/A</v>
      </c>
    </row>
    <row r="34" spans="1:36" ht="16" x14ac:dyDescent="0.2">
      <c r="A34" s="1"/>
      <c r="B34" s="1"/>
      <c r="C34" s="1"/>
      <c r="D34" s="1"/>
      <c r="E34" s="1"/>
      <c r="F34" s="1"/>
      <c r="G34" s="1"/>
      <c r="H34" s="1"/>
      <c r="I34" s="1"/>
      <c r="J34" s="1"/>
      <c r="K34" s="1"/>
      <c r="L34" s="1"/>
      <c r="M34" s="1"/>
      <c r="N34" s="1"/>
      <c r="O34" s="1"/>
      <c r="P34" s="1"/>
      <c r="Q34" s="1"/>
      <c r="R34" s="1"/>
      <c r="S34" s="1"/>
      <c r="T34" s="1"/>
      <c r="U34" s="571"/>
      <c r="W34" s="89"/>
      <c r="X34" s="90"/>
      <c r="Y34" s="90"/>
      <c r="Z34" s="90"/>
      <c r="AA34" s="90"/>
      <c r="AB34" s="89"/>
    </row>
    <row r="35" spans="1:36" ht="16" x14ac:dyDescent="0.2">
      <c r="A35" s="1"/>
      <c r="B35" s="1"/>
      <c r="C35" s="1"/>
      <c r="D35" s="1"/>
      <c r="E35" s="1"/>
      <c r="F35" s="1"/>
      <c r="G35" s="1"/>
      <c r="H35" s="1"/>
      <c r="I35" s="1"/>
      <c r="J35" s="1"/>
      <c r="K35" s="1"/>
      <c r="L35" s="1"/>
      <c r="M35" s="1"/>
      <c r="N35" s="1"/>
      <c r="O35" s="1"/>
      <c r="P35" s="1"/>
      <c r="Q35" s="1"/>
      <c r="R35" s="1"/>
      <c r="S35" s="1"/>
      <c r="T35" s="1"/>
      <c r="U35" s="571"/>
      <c r="W35" s="89"/>
      <c r="X35" s="90"/>
      <c r="Y35" s="90"/>
      <c r="Z35" s="90"/>
      <c r="AA35" s="90"/>
      <c r="AB35" s="89"/>
    </row>
    <row r="36" spans="1:36" ht="16" x14ac:dyDescent="0.2">
      <c r="A36" s="1"/>
      <c r="B36" s="1"/>
      <c r="C36" s="1"/>
      <c r="D36" s="1"/>
      <c r="E36" s="1"/>
      <c r="F36" s="1"/>
      <c r="G36" s="1"/>
      <c r="H36" s="1"/>
      <c r="I36" s="1"/>
      <c r="J36" s="1"/>
      <c r="K36" s="1"/>
      <c r="L36" s="1"/>
      <c r="M36" s="1"/>
      <c r="N36" s="1"/>
      <c r="O36" s="1"/>
      <c r="P36" s="1"/>
      <c r="Q36" s="1"/>
      <c r="R36" s="1"/>
      <c r="S36" s="1"/>
      <c r="T36" s="1"/>
      <c r="U36" s="571"/>
      <c r="W36" s="89"/>
      <c r="X36" s="90"/>
      <c r="Y36" s="90"/>
      <c r="Z36" s="90"/>
      <c r="AA36" s="90"/>
      <c r="AB36" s="89"/>
    </row>
    <row r="37" spans="1:36" ht="16" x14ac:dyDescent="0.2">
      <c r="A37" s="1"/>
      <c r="B37" s="71" t="str">
        <f>Data!$T$1</f>
        <v>Meyer Sound Laboratories, Inc. Berkeley, California, USA                                 www.meyersound.com</v>
      </c>
      <c r="C37" s="1"/>
      <c r="D37" s="1"/>
      <c r="E37" s="1"/>
      <c r="F37" s="1"/>
      <c r="G37" s="1"/>
      <c r="H37" s="1"/>
      <c r="I37" s="1"/>
      <c r="J37" s="1"/>
      <c r="K37" s="1"/>
      <c r="L37" s="1"/>
      <c r="M37" s="1"/>
      <c r="N37" s="1"/>
      <c r="O37" s="1"/>
      <c r="P37" s="1"/>
      <c r="Q37" s="1"/>
      <c r="R37" s="1"/>
      <c r="S37" s="392" t="str">
        <f>Data!$G$1</f>
        <v>© 2021</v>
      </c>
      <c r="T37" s="1"/>
      <c r="U37" s="571"/>
      <c r="W37" s="89"/>
      <c r="X37" s="90"/>
      <c r="Y37" s="90"/>
      <c r="Z37" s="90"/>
      <c r="AA37" s="90"/>
      <c r="AB37" s="89"/>
    </row>
    <row r="38" spans="1:36" ht="16" hidden="1" x14ac:dyDescent="0.2">
      <c r="U38" s="571"/>
      <c r="W38" s="89"/>
      <c r="X38" s="90"/>
      <c r="Y38" s="90"/>
      <c r="Z38" s="90"/>
      <c r="AA38" s="90"/>
      <c r="AB38" s="89"/>
      <c r="AC38" s="90"/>
      <c r="AD38" s="90"/>
      <c r="AE38" s="90"/>
      <c r="AF38" s="90"/>
      <c r="AG38" s="90"/>
      <c r="AH38" s="90"/>
    </row>
  </sheetData>
  <sheetProtection algorithmName="SHA-512" hashValue="OLv4Z6kqZmozR4iPXLV6DQja0fRaPzfdJSnWEO16egjJ0ABCtjkR2dGx+m2DdEt0qtWCWXcc5bjr0ScWw9qtJQ==" saltValue="mVdgyRv/oTI2zMQA4CIzxA==" spinCount="100000" sheet="1" objects="1" scenarios="1" selectLockedCells="1"/>
  <mergeCells count="16">
    <mergeCell ref="U22:U38"/>
    <mergeCell ref="H2:I2"/>
    <mergeCell ref="J4:M4"/>
    <mergeCell ref="Q4:R6"/>
    <mergeCell ref="J5:M5"/>
    <mergeCell ref="J6:M6"/>
    <mergeCell ref="H8:I8"/>
    <mergeCell ref="J8:K8"/>
    <mergeCell ref="L8:M8"/>
    <mergeCell ref="N8:O8"/>
    <mergeCell ref="P8:Q8"/>
    <mergeCell ref="R8:S8"/>
    <mergeCell ref="D12:K12"/>
    <mergeCell ref="L12:S12"/>
    <mergeCell ref="D8:E8"/>
    <mergeCell ref="F8:G8"/>
  </mergeCells>
  <phoneticPr fontId="5" type="noConversion"/>
  <conditionalFormatting sqref="Q4">
    <cfRule type="expression" dxfId="10" priority="10">
      <formula>$W$14&gt;0</formula>
    </cfRule>
  </conditionalFormatting>
  <conditionalFormatting sqref="Q4:R6">
    <cfRule type="expression" dxfId="9" priority="11">
      <formula>$W$14=0</formula>
    </cfRule>
  </conditionalFormatting>
  <dataValidations count="1">
    <dataValidation type="whole" operator="greaterThanOrEqual" allowBlank="1" showInputMessage="1" showErrorMessage="1" sqref="E9:E10 G9:G10 I9:I10 K9:K10 M9:M10 O9:O10 Q9:Q10 S9:S10 R11 P11 N11 L11 J11 H11 F11 D11" xr:uid="{00000000-0002-0000-0A00-000000000000}">
      <formula1>0</formula1>
    </dataValidation>
  </dataValidations>
  <printOptions horizontalCentered="1" verticalCentered="1"/>
  <pageMargins left="0.25" right="0.25" top="0.29931972789115646" bottom="0.81632653061224492" header="5.4421768707482991E-2" footer="0.17687074829931973"/>
  <pageSetup scale="96" orientation="landscape" horizontalDpi="4294967292" verticalDpi="4294967292"/>
  <headerFooter>
    <oddFooter>&amp;L        &amp;G</oddFooter>
  </headerFooter>
  <rowBreaks count="1" manualBreakCount="1">
    <brk id="37" max="16383" man="1"/>
  </rowBreaks>
  <ignoredErrors>
    <ignoredError sqref="E22:S22" formula="1"/>
  </ignoredErrors>
  <drawing r:id="rId1"/>
  <legacyDrawingHF r:id="rId2"/>
  <extLst>
    <ext xmlns:x14="http://schemas.microsoft.com/office/spreadsheetml/2009/9/main" uri="{78C0D931-6437-407d-A8EE-F0AAD7539E65}">
      <x14:conditionalFormattings>
        <x14:conditionalFormatting xmlns:xm="http://schemas.microsoft.com/office/excel/2006/main">
          <x14:cfRule type="cellIs" priority="3" operator="greaterThanOrEqual" id="{B1040B98-7523-134C-BDEF-E87DF6B4837E}">
            <xm:f>Data!$AC$23</xm:f>
            <x14:dxf>
              <font>
                <color theme="5" tint="0.59999389629810485"/>
              </font>
              <fill>
                <patternFill patternType="solid">
                  <fgColor indexed="64"/>
                  <bgColor rgb="FFFF0000"/>
                </patternFill>
              </fill>
            </x14:dxf>
          </x14:cfRule>
          <xm:sqref>H4 N4</xm:sqref>
        </x14:conditionalFormatting>
        <x14:conditionalFormatting xmlns:xm="http://schemas.microsoft.com/office/excel/2006/main">
          <x14:cfRule type="expression" priority="8" id="{AB7A6576-5360-A248-BCED-65DD342C0A4F}">
            <xm:f>$H$4&gt;=Data!$AC$23</xm:f>
            <x14:dxf>
              <font>
                <color theme="5" tint="0.59999389629810485"/>
              </font>
              <fill>
                <patternFill patternType="solid">
                  <fgColor indexed="64"/>
                  <bgColor rgb="FFFF6600"/>
                </patternFill>
              </fill>
            </x14:dxf>
          </x14:cfRule>
          <xm:sqref>D14 F14 H14 J14</xm:sqref>
        </x14:conditionalFormatting>
        <x14:conditionalFormatting xmlns:xm="http://schemas.microsoft.com/office/excel/2006/main">
          <x14:cfRule type="cellIs" priority="7" operator="greaterThan" id="{43A86DE3-C50A-8140-86F5-81E4463EB759}">
            <xm:f>Data!$AC$8</xm:f>
            <x14:dxf>
              <font>
                <color theme="5" tint="0.59999389629810485"/>
              </font>
              <fill>
                <patternFill patternType="solid">
                  <fgColor indexed="64"/>
                  <bgColor rgb="FFFF0000"/>
                </patternFill>
              </fill>
            </x14:dxf>
          </x14:cfRule>
          <xm:sqref>D16:D17 F16:F17 J16:J17 H16:H17 L16:L17 N16:N17</xm:sqref>
        </x14:conditionalFormatting>
        <x14:conditionalFormatting xmlns:xm="http://schemas.microsoft.com/office/excel/2006/main">
          <x14:cfRule type="cellIs" priority="6" operator="greaterThan" id="{96B0D707-321A-8D40-9ABD-1DBE36033C07}">
            <xm:f>Data!$AC$27</xm:f>
            <x14:dxf>
              <font>
                <color theme="5" tint="0.59999389629810485"/>
              </font>
              <fill>
                <patternFill patternType="solid">
                  <fgColor indexed="64"/>
                  <bgColor rgb="FFFF0000"/>
                </patternFill>
              </fill>
            </x14:dxf>
          </x14:cfRule>
          <xm:sqref>D22 F22 H22 J22 L22 N22</xm:sqref>
        </x14:conditionalFormatting>
        <x14:conditionalFormatting xmlns:xm="http://schemas.microsoft.com/office/excel/2006/main">
          <x14:cfRule type="cellIs" priority="5" operator="greaterThan" id="{9315BA32-8563-B14A-BCA9-FA1A83EE7758}">
            <xm:f>Data!$AC$8</xm:f>
            <x14:dxf>
              <font>
                <color theme="5" tint="0.59999389629810485"/>
              </font>
              <fill>
                <patternFill patternType="solid">
                  <fgColor indexed="64"/>
                  <bgColor rgb="FFFF0000"/>
                </patternFill>
              </fill>
            </x14:dxf>
          </x14:cfRule>
          <xm:sqref>P16:P17 R16:R17</xm:sqref>
        </x14:conditionalFormatting>
        <x14:conditionalFormatting xmlns:xm="http://schemas.microsoft.com/office/excel/2006/main">
          <x14:cfRule type="cellIs" priority="4" operator="greaterThan" id="{F1E52614-EE2E-6143-AEC2-F78D818C6592}">
            <xm:f>Data!$AC$13</xm:f>
            <x14:dxf>
              <font>
                <color theme="5" tint="0.59999389629810485"/>
              </font>
              <fill>
                <patternFill patternType="solid">
                  <fgColor indexed="64"/>
                  <bgColor rgb="FFFF0000"/>
                </patternFill>
              </fill>
            </x14:dxf>
          </x14:cfRule>
          <xm:sqref>P22 R22</xm:sqref>
        </x14:conditionalFormatting>
        <x14:conditionalFormatting xmlns:xm="http://schemas.microsoft.com/office/excel/2006/main">
          <x14:cfRule type="cellIs" priority="2" operator="greaterThanOrEqual" id="{DBCB31AA-3D2D-AC4E-87B4-63CA5F312661}">
            <xm:f>Data!$AC$24</xm:f>
            <x14:dxf>
              <font>
                <color theme="5" tint="0.79998168889431442"/>
              </font>
              <fill>
                <patternFill patternType="solid">
                  <fgColor indexed="64"/>
                  <bgColor rgb="FFFF0000"/>
                </patternFill>
              </fill>
            </x14:dxf>
          </x14:cfRule>
          <xm:sqref>H6 N6</xm:sqref>
        </x14:conditionalFormatting>
        <x14:conditionalFormatting xmlns:xm="http://schemas.microsoft.com/office/excel/2006/main">
          <x14:cfRule type="cellIs" priority="1" operator="greaterThanOrEqual" id="{9548AB2E-1A7B-F147-95AF-D3C99E6FBD28}">
            <xm:f>Data!$AC$22</xm:f>
            <x14:dxf>
              <font>
                <color theme="5" tint="0.59999389629810485"/>
              </font>
              <fill>
                <patternFill patternType="solid">
                  <fgColor indexed="64"/>
                  <bgColor rgb="FFFF0000"/>
                </patternFill>
              </fill>
            </x14:dxf>
          </x14:cfRule>
          <xm:sqref>D4</xm:sqref>
        </x14:conditionalFormatting>
        <x14:conditionalFormatting xmlns:xm="http://schemas.microsoft.com/office/excel/2006/main">
          <x14:cfRule type="expression" priority="9" id="{AC93CB53-BED6-2141-BD48-164D6AFA0E7D}">
            <xm:f>$N$4&gt;=Data!$AC$23</xm:f>
            <x14:dxf>
              <font>
                <color theme="5" tint="0.59999389629810485"/>
              </font>
              <fill>
                <patternFill patternType="solid">
                  <fgColor indexed="64"/>
                  <bgColor rgb="FFFF6600"/>
                </patternFill>
              </fill>
            </x14:dxf>
          </x14:cfRule>
          <xm:sqref>L14 N14 P14 R14</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A00-000001000000}">
          <x14:formula1>
            <xm:f>Data!$AB$35:$AB$46</xm:f>
          </x14:formula1>
          <xm:sqref>R2</xm:sqref>
        </x14:dataValidation>
        <x14:dataValidation type="list" allowBlank="1" showInputMessage="1" showErrorMessage="1" xr:uid="{00000000-0002-0000-0A00-000002000000}">
          <x14:formula1>
            <xm:f>Data!$W$4:$W$62</xm:f>
          </x14:formula1>
          <xm:sqref>D9:D10 R9:R10 P9:P10 N9:N10 L9:L10 J9:J10 H9:H10 F9:F10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9"/>
  <dimension ref="A1:AG76"/>
  <sheetViews>
    <sheetView workbookViewId="0"/>
  </sheetViews>
  <sheetFormatPr baseColWidth="10" defaultColWidth="10.83203125" defaultRowHeight="16" x14ac:dyDescent="0.2"/>
  <cols>
    <col min="1" max="1" width="9.1640625" customWidth="1"/>
    <col min="2" max="5" width="6.1640625" bestFit="1" customWidth="1"/>
    <col min="6" max="6" width="2.1640625" customWidth="1"/>
    <col min="7" max="7" width="23.33203125" bestFit="1" customWidth="1"/>
    <col min="8" max="8" width="5.1640625" customWidth="1"/>
    <col min="9" max="11" width="4.1640625" bestFit="1" customWidth="1"/>
    <col min="12" max="12" width="23.33203125" bestFit="1" customWidth="1"/>
    <col min="13" max="13" width="4.83203125" customWidth="1"/>
    <col min="14" max="16" width="4.1640625" bestFit="1" customWidth="1"/>
    <col min="17" max="17" width="3.1640625" customWidth="1"/>
    <col min="18" max="18" width="23.33203125" bestFit="1" customWidth="1"/>
    <col min="19" max="19" width="9.6640625" bestFit="1" customWidth="1"/>
    <col min="20" max="21" width="11.1640625" bestFit="1" customWidth="1"/>
    <col min="22" max="22" width="3" customWidth="1"/>
    <col min="23" max="23" width="23.33203125" bestFit="1" customWidth="1"/>
    <col min="24" max="24" width="7.1640625" bestFit="1" customWidth="1"/>
    <col min="25" max="25" width="9.6640625" bestFit="1" customWidth="1"/>
    <col min="26" max="26" width="11.1640625" bestFit="1" customWidth="1"/>
    <col min="27" max="27" width="7.83203125" customWidth="1"/>
    <col min="28" max="28" width="9.5" customWidth="1"/>
    <col min="29" max="33" width="7.83203125" customWidth="1"/>
  </cols>
  <sheetData>
    <row r="1" spans="1:33" ht="26" x14ac:dyDescent="0.3">
      <c r="A1" s="171"/>
      <c r="B1" s="171"/>
      <c r="C1" s="171"/>
      <c r="D1" s="171"/>
      <c r="E1" s="171"/>
      <c r="F1" s="171"/>
      <c r="G1" s="172" t="s">
        <v>323</v>
      </c>
      <c r="H1" s="171"/>
      <c r="I1" s="171"/>
      <c r="J1" s="171"/>
      <c r="K1" s="171"/>
      <c r="L1" s="171" t="s">
        <v>324</v>
      </c>
      <c r="M1" s="172" t="s">
        <v>325</v>
      </c>
      <c r="N1" s="171"/>
      <c r="O1" s="171"/>
      <c r="P1" s="171"/>
      <c r="Q1" s="171"/>
      <c r="R1" s="171"/>
      <c r="S1" t="s">
        <v>326</v>
      </c>
      <c r="T1" s="173" t="s">
        <v>156</v>
      </c>
      <c r="AC1" s="174"/>
    </row>
    <row r="2" spans="1:33" x14ac:dyDescent="0.2">
      <c r="A2" s="171"/>
      <c r="B2" s="171"/>
      <c r="C2" s="171"/>
      <c r="D2" s="171"/>
      <c r="E2" s="171"/>
      <c r="F2" s="171"/>
      <c r="G2" s="171"/>
      <c r="H2" s="171"/>
      <c r="I2" s="171"/>
      <c r="J2" s="171"/>
      <c r="K2" s="171"/>
      <c r="L2" s="171"/>
      <c r="M2" s="171"/>
      <c r="N2" s="171"/>
      <c r="O2" s="171"/>
      <c r="P2" s="171"/>
      <c r="Q2" s="171"/>
      <c r="R2" s="171"/>
    </row>
    <row r="3" spans="1:33" x14ac:dyDescent="0.2">
      <c r="A3" s="642" t="s">
        <v>327</v>
      </c>
      <c r="B3" s="643"/>
      <c r="C3" s="643"/>
      <c r="D3" s="644"/>
      <c r="E3" s="171"/>
      <c r="F3" s="171"/>
      <c r="G3" s="175"/>
      <c r="H3" s="176" t="s">
        <v>328</v>
      </c>
      <c r="I3" s="176"/>
      <c r="J3" s="176"/>
      <c r="K3" s="177"/>
      <c r="L3" s="178"/>
      <c r="M3" s="176" t="s">
        <v>329</v>
      </c>
      <c r="N3" s="176"/>
      <c r="O3" s="176"/>
      <c r="P3" s="177"/>
      <c r="Q3" s="171"/>
      <c r="R3" s="179">
        <v>230</v>
      </c>
      <c r="S3" s="180" t="s">
        <v>109</v>
      </c>
      <c r="T3" s="181" t="s">
        <v>199</v>
      </c>
      <c r="U3" s="182" t="s">
        <v>330</v>
      </c>
      <c r="W3" s="183">
        <v>115</v>
      </c>
      <c r="X3" s="176" t="s">
        <v>109</v>
      </c>
      <c r="Y3" s="184" t="s">
        <v>199</v>
      </c>
      <c r="Z3" s="185" t="s">
        <v>330</v>
      </c>
      <c r="AB3" s="175" t="s">
        <v>331</v>
      </c>
      <c r="AC3" s="185"/>
      <c r="AE3" s="175" t="s">
        <v>331</v>
      </c>
      <c r="AF3" s="184"/>
      <c r="AG3" s="185"/>
    </row>
    <row r="4" spans="1:33" x14ac:dyDescent="0.2">
      <c r="A4" s="186"/>
      <c r="B4" s="187"/>
      <c r="C4" s="187"/>
      <c r="D4" s="188"/>
      <c r="E4" s="171"/>
      <c r="F4" s="171"/>
      <c r="G4" s="189" t="s">
        <v>127</v>
      </c>
      <c r="H4" s="190"/>
      <c r="I4" s="190"/>
      <c r="J4" s="190"/>
      <c r="K4" s="191"/>
      <c r="L4" s="192"/>
      <c r="M4" s="190"/>
      <c r="N4" s="190"/>
      <c r="O4" s="190"/>
      <c r="P4" s="191"/>
      <c r="Q4" s="190"/>
      <c r="R4" s="193" t="s">
        <v>127</v>
      </c>
      <c r="S4" s="190"/>
      <c r="T4" s="89"/>
      <c r="U4" s="194"/>
      <c r="V4" s="89"/>
      <c r="W4" s="189" t="s">
        <v>127</v>
      </c>
      <c r="X4" s="171"/>
      <c r="Z4" s="195"/>
      <c r="AB4" s="196"/>
      <c r="AC4" s="195"/>
      <c r="AE4" s="196"/>
      <c r="AF4" t="s">
        <v>332</v>
      </c>
      <c r="AG4" s="195" t="s">
        <v>257</v>
      </c>
    </row>
    <row r="5" spans="1:33" x14ac:dyDescent="0.2">
      <c r="A5" s="197" t="s">
        <v>333</v>
      </c>
      <c r="B5" s="171"/>
      <c r="C5" s="171"/>
      <c r="D5" s="198"/>
      <c r="E5" s="171"/>
      <c r="F5" s="171"/>
      <c r="G5" s="197" t="s">
        <v>333</v>
      </c>
      <c r="H5" s="171"/>
      <c r="I5" s="171"/>
      <c r="J5" s="171"/>
      <c r="K5" s="198"/>
      <c r="L5" s="199" t="s">
        <v>333</v>
      </c>
      <c r="M5" s="171"/>
      <c r="N5" s="171"/>
      <c r="O5" s="171"/>
      <c r="P5" s="198"/>
      <c r="Q5" s="171"/>
      <c r="R5" s="200" t="s">
        <v>333</v>
      </c>
      <c r="U5" s="201"/>
      <c r="W5" s="197" t="s">
        <v>333</v>
      </c>
      <c r="Z5" s="195"/>
      <c r="AB5" s="196" t="s">
        <v>216</v>
      </c>
      <c r="AC5" s="195"/>
      <c r="AE5" s="196" t="s">
        <v>334</v>
      </c>
      <c r="AG5" s="195"/>
    </row>
    <row r="6" spans="1:33" x14ac:dyDescent="0.2">
      <c r="A6" s="199" t="s">
        <v>335</v>
      </c>
      <c r="D6" s="195"/>
      <c r="G6" s="199" t="s">
        <v>335</v>
      </c>
      <c r="H6">
        <v>208</v>
      </c>
      <c r="I6">
        <v>235</v>
      </c>
      <c r="J6">
        <v>208</v>
      </c>
      <c r="K6" s="195">
        <v>235</v>
      </c>
      <c r="L6" s="199" t="s">
        <v>335</v>
      </c>
      <c r="M6">
        <v>165</v>
      </c>
      <c r="N6">
        <v>264</v>
      </c>
      <c r="O6">
        <v>165</v>
      </c>
      <c r="P6" s="195">
        <v>264</v>
      </c>
      <c r="R6" s="202" t="s">
        <v>335</v>
      </c>
      <c r="S6">
        <v>6</v>
      </c>
      <c r="T6">
        <v>8</v>
      </c>
      <c r="U6" s="201">
        <v>24</v>
      </c>
      <c r="W6" s="199" t="s">
        <v>335</v>
      </c>
      <c r="X6" t="e">
        <f>NA()</f>
        <v>#N/A</v>
      </c>
      <c r="Y6" t="e">
        <f>NA()</f>
        <v>#N/A</v>
      </c>
      <c r="Z6" s="195" t="e">
        <f>NA()</f>
        <v>#N/A</v>
      </c>
      <c r="AB6" s="196" t="s">
        <v>336</v>
      </c>
      <c r="AC6" s="195">
        <v>32</v>
      </c>
      <c r="AE6" s="196" t="s">
        <v>336</v>
      </c>
      <c r="AF6">
        <v>30</v>
      </c>
      <c r="AG6" s="195">
        <v>24</v>
      </c>
    </row>
    <row r="7" spans="1:33" x14ac:dyDescent="0.2">
      <c r="A7" s="199" t="s">
        <v>337</v>
      </c>
      <c r="D7" s="195"/>
      <c r="G7" s="199" t="s">
        <v>337</v>
      </c>
      <c r="H7">
        <v>95</v>
      </c>
      <c r="I7">
        <v>125</v>
      </c>
      <c r="J7">
        <v>208</v>
      </c>
      <c r="K7" s="195">
        <v>235</v>
      </c>
      <c r="L7" s="199" t="s">
        <v>337</v>
      </c>
      <c r="M7">
        <v>85</v>
      </c>
      <c r="N7">
        <v>134</v>
      </c>
      <c r="O7">
        <v>165</v>
      </c>
      <c r="P7" s="195">
        <v>264</v>
      </c>
      <c r="R7" s="202" t="s">
        <v>337</v>
      </c>
      <c r="S7">
        <v>5.6</v>
      </c>
      <c r="T7">
        <v>7.5</v>
      </c>
      <c r="U7" s="201">
        <v>23</v>
      </c>
      <c r="W7" s="199" t="s">
        <v>337</v>
      </c>
      <c r="X7">
        <v>11.2</v>
      </c>
      <c r="Y7">
        <v>15.4</v>
      </c>
      <c r="Z7" s="195">
        <v>45</v>
      </c>
      <c r="AB7" s="196" t="s">
        <v>338</v>
      </c>
      <c r="AC7" s="195">
        <v>16</v>
      </c>
      <c r="AE7" s="196" t="s">
        <v>338</v>
      </c>
      <c r="AF7">
        <v>20</v>
      </c>
      <c r="AG7" s="195">
        <v>16</v>
      </c>
    </row>
    <row r="8" spans="1:33" x14ac:dyDescent="0.2">
      <c r="A8" s="199" t="s">
        <v>236</v>
      </c>
      <c r="D8" s="195"/>
      <c r="G8" s="199" t="s">
        <v>236</v>
      </c>
      <c r="H8">
        <v>100</v>
      </c>
      <c r="I8">
        <v>240</v>
      </c>
      <c r="J8">
        <v>208</v>
      </c>
      <c r="K8" s="195">
        <v>235</v>
      </c>
      <c r="L8" s="199" t="s">
        <v>236</v>
      </c>
      <c r="M8">
        <v>90</v>
      </c>
      <c r="N8">
        <v>264</v>
      </c>
      <c r="O8">
        <v>90</v>
      </c>
      <c r="P8" s="195">
        <v>264</v>
      </c>
      <c r="R8" s="202" t="s">
        <v>236</v>
      </c>
      <c r="S8">
        <v>1.5</v>
      </c>
      <c r="T8">
        <v>2.2999999999999998</v>
      </c>
      <c r="U8" s="201">
        <v>6.3</v>
      </c>
      <c r="W8" s="199" t="s">
        <v>236</v>
      </c>
      <c r="X8">
        <v>3</v>
      </c>
      <c r="Y8">
        <v>4.4000000000000004</v>
      </c>
      <c r="Z8" s="195">
        <v>12.6</v>
      </c>
      <c r="AB8" s="196" t="s">
        <v>339</v>
      </c>
      <c r="AC8" s="195">
        <v>80</v>
      </c>
      <c r="AE8" s="196" t="s">
        <v>339</v>
      </c>
      <c r="AF8">
        <v>80</v>
      </c>
      <c r="AG8" s="195">
        <v>80</v>
      </c>
    </row>
    <row r="9" spans="1:33" x14ac:dyDescent="0.2">
      <c r="A9" s="199" t="s">
        <v>206</v>
      </c>
      <c r="D9" s="195"/>
      <c r="G9" s="199" t="s">
        <v>206</v>
      </c>
      <c r="H9">
        <v>100</v>
      </c>
      <c r="I9">
        <v>240</v>
      </c>
      <c r="J9">
        <v>100</v>
      </c>
      <c r="K9" s="195">
        <v>240</v>
      </c>
      <c r="L9" s="199" t="s">
        <v>206</v>
      </c>
      <c r="M9">
        <v>90</v>
      </c>
      <c r="N9">
        <v>265</v>
      </c>
      <c r="O9">
        <v>90</v>
      </c>
      <c r="P9" s="195">
        <v>265</v>
      </c>
      <c r="R9" s="199" t="s">
        <v>206</v>
      </c>
      <c r="S9">
        <v>1.1599999999999999</v>
      </c>
      <c r="T9">
        <v>1.7</v>
      </c>
      <c r="U9" s="201">
        <v>4</v>
      </c>
      <c r="W9" s="199" t="s">
        <v>206</v>
      </c>
      <c r="X9">
        <v>2.2999999999999998</v>
      </c>
      <c r="Y9">
        <v>3.9</v>
      </c>
      <c r="Z9" s="195">
        <v>8.8000000000000007</v>
      </c>
      <c r="AB9" s="196"/>
      <c r="AC9" s="195"/>
      <c r="AE9" s="196"/>
      <c r="AG9" s="195"/>
    </row>
    <row r="10" spans="1:33" x14ac:dyDescent="0.2">
      <c r="A10" s="403" t="s">
        <v>340</v>
      </c>
      <c r="B10" s="171"/>
      <c r="C10" s="171"/>
      <c r="D10" s="405"/>
      <c r="E10" s="171"/>
      <c r="F10" s="171"/>
      <c r="G10" s="403" t="s">
        <v>340</v>
      </c>
      <c r="H10" s="171"/>
      <c r="I10" s="171"/>
      <c r="J10" s="171"/>
      <c r="K10" s="405"/>
      <c r="L10" s="171" t="s">
        <v>340</v>
      </c>
      <c r="M10" s="171"/>
      <c r="N10" s="171"/>
      <c r="O10" s="171"/>
      <c r="P10" s="405"/>
      <c r="Q10" s="171"/>
      <c r="R10" s="403" t="s">
        <v>340</v>
      </c>
      <c r="S10" s="171"/>
      <c r="T10" s="171"/>
      <c r="U10" s="405"/>
      <c r="V10" s="171"/>
      <c r="W10" s="403" t="s">
        <v>340</v>
      </c>
      <c r="X10" s="171"/>
      <c r="Y10" s="171"/>
      <c r="Z10" s="405"/>
      <c r="AA10" s="171"/>
      <c r="AB10" s="403"/>
      <c r="AC10" s="405"/>
      <c r="AD10" s="171"/>
      <c r="AE10" s="403"/>
      <c r="AF10" s="171"/>
      <c r="AG10" s="405"/>
    </row>
    <row r="11" spans="1:33" x14ac:dyDescent="0.2">
      <c r="A11" s="403" t="s">
        <v>341</v>
      </c>
      <c r="B11" s="171"/>
      <c r="C11" s="171"/>
      <c r="D11" s="405"/>
      <c r="E11" s="171"/>
      <c r="F11" s="171"/>
      <c r="G11" s="403" t="s">
        <v>341</v>
      </c>
      <c r="H11" s="171">
        <v>100</v>
      </c>
      <c r="I11" s="171">
        <v>240</v>
      </c>
      <c r="J11" s="171">
        <v>100</v>
      </c>
      <c r="K11" s="405">
        <v>240</v>
      </c>
      <c r="L11" s="171" t="s">
        <v>341</v>
      </c>
      <c r="M11" s="171">
        <v>90</v>
      </c>
      <c r="N11" s="171">
        <v>265</v>
      </c>
      <c r="O11" s="171">
        <v>90</v>
      </c>
      <c r="P11" s="405">
        <v>265</v>
      </c>
      <c r="Q11" s="171"/>
      <c r="R11" s="403" t="s">
        <v>341</v>
      </c>
      <c r="S11" s="171">
        <v>0.5</v>
      </c>
      <c r="T11" s="171">
        <v>0.8</v>
      </c>
      <c r="U11" s="405">
        <v>1.8</v>
      </c>
      <c r="V11" s="171"/>
      <c r="W11" s="403" t="s">
        <v>341</v>
      </c>
      <c r="X11" s="171">
        <v>0.9</v>
      </c>
      <c r="Y11" s="171">
        <v>1.6</v>
      </c>
      <c r="Z11" s="405">
        <v>3.5</v>
      </c>
      <c r="AA11" s="171"/>
      <c r="AB11" s="403"/>
      <c r="AC11" s="405"/>
      <c r="AD11" s="171"/>
      <c r="AE11" s="403"/>
      <c r="AF11" s="171"/>
      <c r="AG11" s="405"/>
    </row>
    <row r="12" spans="1:33" x14ac:dyDescent="0.2">
      <c r="A12" s="393" t="s">
        <v>125</v>
      </c>
      <c r="B12" s="171"/>
      <c r="C12" s="171"/>
      <c r="D12" s="405"/>
      <c r="E12" s="171"/>
      <c r="F12" s="171"/>
      <c r="G12" s="403" t="s">
        <v>125</v>
      </c>
      <c r="H12" s="171">
        <v>100</v>
      </c>
      <c r="I12" s="171">
        <v>240</v>
      </c>
      <c r="J12" s="171">
        <v>100</v>
      </c>
      <c r="K12" s="405">
        <v>240</v>
      </c>
      <c r="L12" s="171" t="s">
        <v>125</v>
      </c>
      <c r="M12" s="171">
        <v>90</v>
      </c>
      <c r="N12" s="171">
        <v>265</v>
      </c>
      <c r="O12" s="171">
        <v>90</v>
      </c>
      <c r="P12" s="405">
        <v>265</v>
      </c>
      <c r="Q12" s="171"/>
      <c r="R12" s="403" t="s">
        <v>125</v>
      </c>
      <c r="S12" s="171">
        <v>1</v>
      </c>
      <c r="T12" s="171">
        <v>1.5</v>
      </c>
      <c r="U12" s="405">
        <v>3.4</v>
      </c>
      <c r="V12" s="171"/>
      <c r="W12" s="403" t="s">
        <v>125</v>
      </c>
      <c r="X12" s="171">
        <v>1.9</v>
      </c>
      <c r="Y12" s="171">
        <v>3.1</v>
      </c>
      <c r="Z12" s="405">
        <v>6.9</v>
      </c>
      <c r="AA12" s="171"/>
      <c r="AB12" s="403"/>
      <c r="AC12" s="405"/>
      <c r="AD12" s="171"/>
      <c r="AE12" s="403"/>
      <c r="AF12" s="171"/>
      <c r="AG12" s="405"/>
    </row>
    <row r="13" spans="1:33" x14ac:dyDescent="0.2">
      <c r="A13" s="197" t="s">
        <v>342</v>
      </c>
      <c r="D13" s="195"/>
      <c r="G13" s="197" t="s">
        <v>342</v>
      </c>
      <c r="K13" s="195"/>
      <c r="L13" s="199" t="s">
        <v>342</v>
      </c>
      <c r="P13" s="195"/>
      <c r="R13" s="200" t="s">
        <v>342</v>
      </c>
      <c r="U13" s="201"/>
      <c r="W13" s="197" t="s">
        <v>342</v>
      </c>
      <c r="Z13" s="195"/>
      <c r="AB13" s="203" t="s">
        <v>233</v>
      </c>
      <c r="AC13" s="204">
        <v>10</v>
      </c>
      <c r="AE13" s="203" t="s">
        <v>233</v>
      </c>
      <c r="AF13" s="205">
        <v>10</v>
      </c>
      <c r="AG13" s="204">
        <v>10</v>
      </c>
    </row>
    <row r="14" spans="1:33" x14ac:dyDescent="0.2">
      <c r="A14" s="199" t="s">
        <v>343</v>
      </c>
      <c r="D14" s="195"/>
      <c r="G14" s="199" t="s">
        <v>343</v>
      </c>
      <c r="H14">
        <v>208</v>
      </c>
      <c r="I14">
        <v>235</v>
      </c>
      <c r="J14">
        <v>208</v>
      </c>
      <c r="K14" s="195">
        <v>235</v>
      </c>
      <c r="L14" s="199" t="s">
        <v>343</v>
      </c>
      <c r="M14">
        <v>165</v>
      </c>
      <c r="N14">
        <v>264</v>
      </c>
      <c r="O14">
        <v>165</v>
      </c>
      <c r="P14" s="195">
        <v>264</v>
      </c>
      <c r="R14" s="202" t="s">
        <v>343</v>
      </c>
      <c r="S14">
        <v>10.5</v>
      </c>
      <c r="T14">
        <v>18</v>
      </c>
      <c r="U14" s="201">
        <v>53</v>
      </c>
      <c r="W14" s="199" t="s">
        <v>343</v>
      </c>
      <c r="X14" t="e">
        <f>NA()</f>
        <v>#N/A</v>
      </c>
      <c r="Y14" t="e">
        <f>NA()</f>
        <v>#N/A</v>
      </c>
      <c r="Z14" s="195" t="e">
        <f>NA()</f>
        <v>#N/A</v>
      </c>
    </row>
    <row r="15" spans="1:33" x14ac:dyDescent="0.2">
      <c r="A15" s="199" t="s">
        <v>237</v>
      </c>
      <c r="D15" s="195"/>
      <c r="G15" s="199" t="s">
        <v>237</v>
      </c>
      <c r="H15">
        <v>100</v>
      </c>
      <c r="I15">
        <v>240</v>
      </c>
      <c r="J15">
        <v>100</v>
      </c>
      <c r="K15" s="195">
        <v>240</v>
      </c>
      <c r="L15" s="199" t="s">
        <v>237</v>
      </c>
      <c r="M15">
        <v>90</v>
      </c>
      <c r="N15">
        <v>264</v>
      </c>
      <c r="O15">
        <v>90</v>
      </c>
      <c r="P15" s="195">
        <v>264</v>
      </c>
      <c r="R15" s="202" t="s">
        <v>237</v>
      </c>
      <c r="S15">
        <v>2.5</v>
      </c>
      <c r="T15">
        <v>4.7</v>
      </c>
      <c r="U15" s="201">
        <v>9.1999999999999993</v>
      </c>
      <c r="W15" s="199" t="s">
        <v>237</v>
      </c>
      <c r="X15">
        <v>4.9000000000000004</v>
      </c>
      <c r="Y15">
        <v>8.8000000000000007</v>
      </c>
      <c r="Z15" s="195">
        <v>18.2</v>
      </c>
      <c r="AB15" s="175" t="s">
        <v>331</v>
      </c>
      <c r="AC15" s="185"/>
      <c r="AE15" s="175" t="s">
        <v>331</v>
      </c>
      <c r="AF15" s="184"/>
      <c r="AG15" s="185"/>
    </row>
    <row r="16" spans="1:33" x14ac:dyDescent="0.2">
      <c r="A16" s="199" t="s">
        <v>207</v>
      </c>
      <c r="D16" s="195"/>
      <c r="G16" s="199" t="s">
        <v>207</v>
      </c>
      <c r="K16" s="195"/>
      <c r="L16" s="199" t="s">
        <v>207</v>
      </c>
      <c r="P16" s="195"/>
      <c r="R16" s="199" t="s">
        <v>207</v>
      </c>
      <c r="S16">
        <v>2.7</v>
      </c>
      <c r="T16" s="338">
        <v>4.4000000000000004</v>
      </c>
      <c r="U16" s="201">
        <v>7.8</v>
      </c>
      <c r="W16" s="199" t="s">
        <v>207</v>
      </c>
      <c r="X16">
        <v>5.3</v>
      </c>
      <c r="Y16" s="338">
        <v>9.1999999999999993</v>
      </c>
      <c r="Z16" s="195">
        <v>15.3</v>
      </c>
      <c r="AB16" s="196"/>
      <c r="AC16" s="195"/>
      <c r="AE16" s="196"/>
      <c r="AG16" s="195"/>
    </row>
    <row r="17" spans="1:33" x14ac:dyDescent="0.2">
      <c r="A17" s="403" t="s">
        <v>344</v>
      </c>
      <c r="B17" s="171"/>
      <c r="C17" s="171"/>
      <c r="D17" s="405"/>
      <c r="E17" s="171"/>
      <c r="F17" s="171"/>
      <c r="G17" s="403" t="s">
        <v>344</v>
      </c>
      <c r="H17" s="171">
        <v>208</v>
      </c>
      <c r="I17" s="171">
        <v>235</v>
      </c>
      <c r="J17" s="171">
        <v>208</v>
      </c>
      <c r="K17" s="405">
        <v>235</v>
      </c>
      <c r="L17" s="171" t="s">
        <v>344</v>
      </c>
      <c r="M17" s="171">
        <v>208</v>
      </c>
      <c r="N17" s="171">
        <v>235</v>
      </c>
      <c r="O17" s="171">
        <v>208</v>
      </c>
      <c r="P17" s="405">
        <v>235</v>
      </c>
      <c r="Q17" s="171"/>
      <c r="R17" s="403" t="s">
        <v>344</v>
      </c>
      <c r="S17" s="171">
        <v>10.5</v>
      </c>
      <c r="T17" s="395">
        <v>18</v>
      </c>
      <c r="U17" s="405">
        <v>53</v>
      </c>
      <c r="V17" s="171"/>
      <c r="W17" s="403" t="s">
        <v>344</v>
      </c>
      <c r="X17" s="171" t="e">
        <v>#N/A</v>
      </c>
      <c r="Y17" s="171" t="e">
        <v>#N/A</v>
      </c>
      <c r="Z17" s="405" t="e">
        <v>#N/A</v>
      </c>
      <c r="AA17" s="171"/>
      <c r="AB17" s="403"/>
      <c r="AC17" s="405"/>
      <c r="AD17" s="171"/>
      <c r="AE17" s="403"/>
      <c r="AF17" s="171"/>
      <c r="AG17" s="405"/>
    </row>
    <row r="18" spans="1:33" x14ac:dyDescent="0.2">
      <c r="A18" s="197" t="s">
        <v>345</v>
      </c>
      <c r="D18" s="195"/>
      <c r="G18" s="197" t="s">
        <v>345</v>
      </c>
      <c r="K18" s="195"/>
      <c r="L18" s="199" t="s">
        <v>345</v>
      </c>
      <c r="P18" s="195"/>
      <c r="R18" s="200" t="s">
        <v>345</v>
      </c>
      <c r="U18" s="201"/>
      <c r="W18" s="197" t="s">
        <v>345</v>
      </c>
      <c r="Z18" s="195"/>
      <c r="AB18" s="196"/>
      <c r="AC18" s="195"/>
      <c r="AE18" s="196"/>
      <c r="AF18" t="s">
        <v>332</v>
      </c>
      <c r="AG18" s="195" t="s">
        <v>257</v>
      </c>
    </row>
    <row r="19" spans="1:33" x14ac:dyDescent="0.2">
      <c r="A19" s="403" t="s">
        <v>346</v>
      </c>
      <c r="B19" s="171"/>
      <c r="C19" s="171"/>
      <c r="D19" s="405"/>
      <c r="E19" s="171"/>
      <c r="F19" s="171"/>
      <c r="G19" s="403" t="s">
        <v>346</v>
      </c>
      <c r="H19" s="171">
        <v>100</v>
      </c>
      <c r="I19" s="171">
        <v>240</v>
      </c>
      <c r="J19" s="171">
        <v>100</v>
      </c>
      <c r="K19" s="405">
        <v>240</v>
      </c>
      <c r="L19" s="171" t="s">
        <v>346</v>
      </c>
      <c r="M19" s="171">
        <v>90</v>
      </c>
      <c r="N19" s="171">
        <v>265</v>
      </c>
      <c r="O19" s="171">
        <v>90</v>
      </c>
      <c r="P19" s="405">
        <v>265</v>
      </c>
      <c r="Q19" s="171"/>
      <c r="R19" s="403" t="s">
        <v>346</v>
      </c>
      <c r="S19" s="171">
        <v>0.7</v>
      </c>
      <c r="T19" s="171">
        <v>1.8</v>
      </c>
      <c r="U19" s="405">
        <v>4.5</v>
      </c>
      <c r="V19" s="171"/>
      <c r="W19" s="403" t="s">
        <v>346</v>
      </c>
      <c r="X19" s="171">
        <v>1.2</v>
      </c>
      <c r="Y19" s="171">
        <v>3.6</v>
      </c>
      <c r="Z19" s="405">
        <v>8.9</v>
      </c>
      <c r="AA19" s="171"/>
      <c r="AB19" s="403"/>
      <c r="AC19" s="405"/>
      <c r="AD19" s="171"/>
      <c r="AE19" s="403"/>
      <c r="AF19" s="171"/>
      <c r="AG19" s="405"/>
    </row>
    <row r="20" spans="1:33" x14ac:dyDescent="0.2">
      <c r="A20" s="393" t="s">
        <v>347</v>
      </c>
      <c r="B20" s="394"/>
      <c r="C20" s="171"/>
      <c r="D20" s="405"/>
      <c r="E20" s="171"/>
      <c r="F20" s="171"/>
      <c r="G20" s="393" t="s">
        <v>347</v>
      </c>
      <c r="H20" s="171">
        <v>100</v>
      </c>
      <c r="I20" s="171">
        <v>240</v>
      </c>
      <c r="J20" s="171">
        <v>100</v>
      </c>
      <c r="K20" s="405">
        <v>240</v>
      </c>
      <c r="L20" s="394" t="s">
        <v>347</v>
      </c>
      <c r="M20" s="171">
        <v>90</v>
      </c>
      <c r="N20" s="171">
        <v>265</v>
      </c>
      <c r="O20" s="171">
        <v>90</v>
      </c>
      <c r="P20" s="405">
        <v>265</v>
      </c>
      <c r="Q20" s="171"/>
      <c r="R20" s="393" t="s">
        <v>347</v>
      </c>
      <c r="S20" s="171">
        <v>0.7</v>
      </c>
      <c r="T20" s="171">
        <v>2.1</v>
      </c>
      <c r="U20" s="405">
        <v>4.7</v>
      </c>
      <c r="V20" s="171"/>
      <c r="W20" s="393" t="s">
        <v>347</v>
      </c>
      <c r="X20" s="171">
        <v>1.4</v>
      </c>
      <c r="Y20" s="171">
        <v>4.5</v>
      </c>
      <c r="Z20" s="405">
        <v>9.6999999999999993</v>
      </c>
      <c r="AA20" s="171"/>
      <c r="AB20" s="403"/>
      <c r="AC20" s="405"/>
      <c r="AD20" s="171"/>
      <c r="AE20" s="403"/>
      <c r="AF20" s="171"/>
      <c r="AG20" s="405"/>
    </row>
    <row r="21" spans="1:33" x14ac:dyDescent="0.2">
      <c r="A21" s="199" t="s">
        <v>348</v>
      </c>
      <c r="D21" s="195"/>
      <c r="G21" s="199" t="s">
        <v>348</v>
      </c>
      <c r="H21" s="171" t="s">
        <v>349</v>
      </c>
      <c r="K21" s="195"/>
      <c r="L21" s="199" t="s">
        <v>348</v>
      </c>
      <c r="M21" s="171" t="s">
        <v>349</v>
      </c>
      <c r="P21" s="195"/>
      <c r="R21" s="202" t="s">
        <v>348</v>
      </c>
      <c r="S21">
        <v>4.2</v>
      </c>
      <c r="T21">
        <v>9</v>
      </c>
      <c r="U21" s="201">
        <v>13</v>
      </c>
      <c r="W21" s="199" t="s">
        <v>348</v>
      </c>
      <c r="X21">
        <v>8.4</v>
      </c>
      <c r="Y21">
        <v>18</v>
      </c>
      <c r="Z21" s="195">
        <v>40</v>
      </c>
      <c r="AB21" s="196" t="s">
        <v>247</v>
      </c>
      <c r="AC21" s="195"/>
      <c r="AE21" s="196" t="s">
        <v>322</v>
      </c>
      <c r="AG21" s="195"/>
    </row>
    <row r="22" spans="1:33" x14ac:dyDescent="0.2">
      <c r="A22" s="199" t="s">
        <v>350</v>
      </c>
      <c r="D22" s="195"/>
      <c r="G22" s="199" t="s">
        <v>350</v>
      </c>
      <c r="H22">
        <v>95</v>
      </c>
      <c r="I22">
        <v>125</v>
      </c>
      <c r="J22">
        <v>208</v>
      </c>
      <c r="K22" s="195">
        <v>235</v>
      </c>
      <c r="L22" s="199" t="s">
        <v>350</v>
      </c>
      <c r="M22">
        <v>85</v>
      </c>
      <c r="N22">
        <v>134</v>
      </c>
      <c r="O22">
        <v>165</v>
      </c>
      <c r="P22" s="195">
        <v>264</v>
      </c>
      <c r="R22" s="202" t="s">
        <v>350</v>
      </c>
      <c r="S22">
        <v>4.4000000000000004</v>
      </c>
      <c r="T22">
        <v>9.5</v>
      </c>
      <c r="U22" s="201">
        <v>20</v>
      </c>
      <c r="W22" s="199" t="s">
        <v>350</v>
      </c>
      <c r="X22">
        <v>8.8000000000000007</v>
      </c>
      <c r="Y22">
        <v>19</v>
      </c>
      <c r="Z22" s="195">
        <v>39</v>
      </c>
      <c r="AB22" s="196" t="s">
        <v>336</v>
      </c>
      <c r="AC22" s="195">
        <v>32</v>
      </c>
      <c r="AE22" s="196" t="s">
        <v>336</v>
      </c>
      <c r="AF22">
        <v>32</v>
      </c>
      <c r="AG22" s="195">
        <v>24</v>
      </c>
    </row>
    <row r="23" spans="1:33" x14ac:dyDescent="0.2">
      <c r="A23" s="199" t="s">
        <v>351</v>
      </c>
      <c r="D23" s="195"/>
      <c r="G23" s="199" t="s">
        <v>351</v>
      </c>
      <c r="H23">
        <v>95</v>
      </c>
      <c r="I23">
        <v>125</v>
      </c>
      <c r="J23">
        <v>208</v>
      </c>
      <c r="K23" s="195">
        <v>235</v>
      </c>
      <c r="L23" s="199" t="s">
        <v>351</v>
      </c>
      <c r="M23">
        <v>85</v>
      </c>
      <c r="N23">
        <v>134</v>
      </c>
      <c r="O23">
        <v>165</v>
      </c>
      <c r="P23" s="195">
        <v>264</v>
      </c>
      <c r="R23" s="202" t="s">
        <v>351</v>
      </c>
      <c r="S23">
        <v>4</v>
      </c>
      <c r="T23">
        <v>8</v>
      </c>
      <c r="U23" s="201">
        <v>11</v>
      </c>
      <c r="W23" s="199" t="s">
        <v>351</v>
      </c>
      <c r="X23">
        <v>8</v>
      </c>
      <c r="Y23">
        <v>15</v>
      </c>
      <c r="Z23" s="195">
        <v>22</v>
      </c>
      <c r="AB23" s="196" t="s">
        <v>338</v>
      </c>
      <c r="AC23" s="195">
        <v>15</v>
      </c>
      <c r="AE23" s="196" t="s">
        <v>338</v>
      </c>
      <c r="AF23">
        <v>15</v>
      </c>
      <c r="AG23" s="195">
        <v>12</v>
      </c>
    </row>
    <row r="24" spans="1:33" x14ac:dyDescent="0.2">
      <c r="A24" s="199" t="s">
        <v>352</v>
      </c>
      <c r="D24" s="195"/>
      <c r="G24" s="199" t="s">
        <v>352</v>
      </c>
      <c r="H24">
        <v>95</v>
      </c>
      <c r="I24">
        <v>125</v>
      </c>
      <c r="J24">
        <v>208</v>
      </c>
      <c r="K24" s="195">
        <v>235</v>
      </c>
      <c r="L24" s="199" t="s">
        <v>352</v>
      </c>
      <c r="M24">
        <v>85</v>
      </c>
      <c r="N24">
        <v>134</v>
      </c>
      <c r="O24">
        <v>165</v>
      </c>
      <c r="P24" s="195">
        <v>264</v>
      </c>
      <c r="R24" s="202" t="s">
        <v>352</v>
      </c>
      <c r="S24">
        <v>4</v>
      </c>
      <c r="T24">
        <v>9.5</v>
      </c>
      <c r="U24" s="201">
        <v>20</v>
      </c>
      <c r="W24" s="199" t="s">
        <v>352</v>
      </c>
      <c r="X24">
        <v>8.8000000000000007</v>
      </c>
      <c r="Y24">
        <v>19</v>
      </c>
      <c r="Z24" s="195">
        <v>39</v>
      </c>
      <c r="AB24" s="196" t="s">
        <v>339</v>
      </c>
      <c r="AC24" s="195">
        <v>80</v>
      </c>
      <c r="AE24" s="196" t="s">
        <v>339</v>
      </c>
      <c r="AF24">
        <v>80</v>
      </c>
      <c r="AG24" s="195">
        <v>80</v>
      </c>
    </row>
    <row r="25" spans="1:33" x14ac:dyDescent="0.2">
      <c r="A25" s="403" t="s">
        <v>353</v>
      </c>
      <c r="B25" s="171"/>
      <c r="C25" s="171"/>
      <c r="D25" s="405"/>
      <c r="E25" s="171"/>
      <c r="F25" s="171"/>
      <c r="G25" s="403" t="s">
        <v>353</v>
      </c>
      <c r="H25" s="171">
        <v>105</v>
      </c>
      <c r="I25" s="171">
        <v>130</v>
      </c>
      <c r="J25" s="171">
        <v>210</v>
      </c>
      <c r="K25" s="405">
        <v>260</v>
      </c>
      <c r="L25" s="171" t="s">
        <v>353</v>
      </c>
      <c r="M25" s="171">
        <v>105</v>
      </c>
      <c r="N25" s="171">
        <v>130</v>
      </c>
      <c r="O25" s="171">
        <v>210</v>
      </c>
      <c r="P25" s="405">
        <v>260</v>
      </c>
      <c r="Q25" s="171"/>
      <c r="R25" s="403" t="s">
        <v>353</v>
      </c>
      <c r="S25" s="171">
        <v>0.5</v>
      </c>
      <c r="T25" s="171">
        <v>0.65</v>
      </c>
      <c r="U25" s="405">
        <v>2</v>
      </c>
      <c r="V25" s="171"/>
      <c r="W25" s="403" t="s">
        <v>353</v>
      </c>
      <c r="X25" s="171">
        <v>1</v>
      </c>
      <c r="Y25" s="171">
        <v>1.3</v>
      </c>
      <c r="Z25" s="405">
        <v>2.9</v>
      </c>
      <c r="AA25" s="171"/>
      <c r="AB25" s="403"/>
      <c r="AC25" s="405"/>
      <c r="AD25" s="171"/>
      <c r="AE25" s="171"/>
      <c r="AF25" s="171"/>
      <c r="AG25" s="171"/>
    </row>
    <row r="26" spans="1:33" x14ac:dyDescent="0.2">
      <c r="A26" s="403" t="s">
        <v>354</v>
      </c>
      <c r="B26" s="171"/>
      <c r="C26" s="171"/>
      <c r="D26" s="405"/>
      <c r="E26" s="171"/>
      <c r="F26" s="171"/>
      <c r="G26" s="403" t="s">
        <v>354</v>
      </c>
      <c r="H26" s="171">
        <v>100</v>
      </c>
      <c r="I26" s="171">
        <v>240</v>
      </c>
      <c r="J26" s="171">
        <v>100</v>
      </c>
      <c r="K26" s="405">
        <v>240</v>
      </c>
      <c r="L26" s="171" t="s">
        <v>354</v>
      </c>
      <c r="M26" s="171">
        <v>90</v>
      </c>
      <c r="N26" s="171">
        <v>264</v>
      </c>
      <c r="O26" s="171">
        <v>90</v>
      </c>
      <c r="P26" s="405">
        <v>264</v>
      </c>
      <c r="Q26" s="171"/>
      <c r="R26" s="403" t="s">
        <v>354</v>
      </c>
      <c r="S26" s="171">
        <v>1.4</v>
      </c>
      <c r="T26" s="171">
        <v>1.6</v>
      </c>
      <c r="U26" s="405">
        <v>2.5</v>
      </c>
      <c r="V26" s="171"/>
      <c r="W26" s="403" t="s">
        <v>354</v>
      </c>
      <c r="X26" s="171">
        <v>2.8</v>
      </c>
      <c r="Y26" s="171">
        <v>3.2</v>
      </c>
      <c r="Z26" s="405">
        <v>5</v>
      </c>
      <c r="AA26" s="171"/>
      <c r="AB26" s="406">
        <v>16</v>
      </c>
      <c r="AC26" s="407"/>
      <c r="AD26" s="171"/>
      <c r="AE26" s="171"/>
      <c r="AF26" s="171"/>
      <c r="AG26" s="171"/>
    </row>
    <row r="27" spans="1:33" x14ac:dyDescent="0.2">
      <c r="A27" s="197" t="s">
        <v>355</v>
      </c>
      <c r="D27" s="195"/>
      <c r="G27" s="197" t="s">
        <v>355</v>
      </c>
      <c r="K27" s="195"/>
      <c r="L27" s="199" t="s">
        <v>355</v>
      </c>
      <c r="P27" s="195"/>
      <c r="R27" s="200" t="s">
        <v>355</v>
      </c>
      <c r="U27" s="201"/>
      <c r="W27" s="197" t="s">
        <v>355</v>
      </c>
      <c r="Z27" s="195"/>
      <c r="AB27" s="203" t="s">
        <v>233</v>
      </c>
      <c r="AC27" s="204">
        <v>10</v>
      </c>
      <c r="AE27" s="203" t="s">
        <v>233</v>
      </c>
      <c r="AF27" s="205">
        <v>10</v>
      </c>
      <c r="AG27" s="204">
        <v>10</v>
      </c>
    </row>
    <row r="28" spans="1:33" x14ac:dyDescent="0.2">
      <c r="A28" s="199" t="s">
        <v>356</v>
      </c>
      <c r="D28" s="195"/>
      <c r="G28" s="199" t="s">
        <v>356</v>
      </c>
      <c r="H28">
        <v>95</v>
      </c>
      <c r="I28">
        <v>125</v>
      </c>
      <c r="J28">
        <v>208</v>
      </c>
      <c r="K28" s="195">
        <v>235</v>
      </c>
      <c r="L28" s="199" t="s">
        <v>356</v>
      </c>
      <c r="M28">
        <v>85</v>
      </c>
      <c r="N28">
        <v>134</v>
      </c>
      <c r="O28">
        <v>165</v>
      </c>
      <c r="P28" s="195">
        <v>264</v>
      </c>
      <c r="R28" s="202" t="s">
        <v>356</v>
      </c>
      <c r="S28">
        <v>2.5</v>
      </c>
      <c r="T28">
        <v>4.0999999999999996</v>
      </c>
      <c r="U28" s="201">
        <v>13</v>
      </c>
      <c r="W28" s="199" t="s">
        <v>356</v>
      </c>
      <c r="X28">
        <v>4.55</v>
      </c>
      <c r="Y28">
        <v>8</v>
      </c>
      <c r="Z28" s="195">
        <v>20.8</v>
      </c>
    </row>
    <row r="29" spans="1:33" x14ac:dyDescent="0.2">
      <c r="A29" s="197" t="s">
        <v>357</v>
      </c>
      <c r="D29" s="195"/>
      <c r="G29" s="197" t="s">
        <v>357</v>
      </c>
      <c r="K29" s="195"/>
      <c r="L29" s="199" t="s">
        <v>357</v>
      </c>
      <c r="P29" s="195"/>
      <c r="R29" s="200" t="s">
        <v>357</v>
      </c>
      <c r="U29" s="201"/>
      <c r="W29" s="197" t="s">
        <v>357</v>
      </c>
      <c r="Z29" s="195"/>
      <c r="AB29" s="175" t="s">
        <v>358</v>
      </c>
      <c r="AC29" s="185"/>
    </row>
    <row r="30" spans="1:33" x14ac:dyDescent="0.2">
      <c r="A30" s="199" t="s">
        <v>359</v>
      </c>
      <c r="D30" s="195"/>
      <c r="G30" s="199" t="s">
        <v>359</v>
      </c>
      <c r="H30" t="s">
        <v>349</v>
      </c>
      <c r="K30" s="195"/>
      <c r="L30" s="199" t="s">
        <v>359</v>
      </c>
      <c r="P30" s="195"/>
      <c r="R30" s="202" t="s">
        <v>359</v>
      </c>
      <c r="S30">
        <v>5.6</v>
      </c>
      <c r="T30">
        <v>7.2</v>
      </c>
      <c r="U30" s="201">
        <v>16</v>
      </c>
      <c r="W30" s="199" t="s">
        <v>359</v>
      </c>
      <c r="X30">
        <v>11.2</v>
      </c>
      <c r="Y30">
        <v>14.4</v>
      </c>
      <c r="Z30" s="195">
        <v>32</v>
      </c>
      <c r="AB30" s="196">
        <v>1.5</v>
      </c>
      <c r="AC30" s="195"/>
    </row>
    <row r="31" spans="1:33" x14ac:dyDescent="0.2">
      <c r="A31" s="199" t="s">
        <v>360</v>
      </c>
      <c r="D31" s="195"/>
      <c r="G31" s="199" t="s">
        <v>360</v>
      </c>
      <c r="H31">
        <v>95</v>
      </c>
      <c r="I31">
        <v>125</v>
      </c>
      <c r="J31">
        <v>208</v>
      </c>
      <c r="K31" s="195">
        <v>235</v>
      </c>
      <c r="L31" s="199" t="s">
        <v>360</v>
      </c>
      <c r="M31">
        <v>85</v>
      </c>
      <c r="N31">
        <v>134</v>
      </c>
      <c r="O31">
        <v>165</v>
      </c>
      <c r="P31" s="195">
        <v>264</v>
      </c>
      <c r="R31" s="202" t="s">
        <v>360</v>
      </c>
      <c r="S31">
        <v>2.7</v>
      </c>
      <c r="T31">
        <v>4.3</v>
      </c>
      <c r="U31" s="201">
        <v>12.3</v>
      </c>
      <c r="W31" s="199" t="s">
        <v>360</v>
      </c>
      <c r="X31">
        <v>5.4</v>
      </c>
      <c r="Y31">
        <v>8.6999999999999993</v>
      </c>
      <c r="Z31" s="195">
        <v>24.6</v>
      </c>
      <c r="AB31" s="196">
        <v>2.5</v>
      </c>
      <c r="AC31" s="195"/>
    </row>
    <row r="32" spans="1:33" x14ac:dyDescent="0.2">
      <c r="A32" s="199" t="s">
        <v>361</v>
      </c>
      <c r="D32" s="195"/>
      <c r="G32" s="199" t="s">
        <v>361</v>
      </c>
      <c r="H32" t="s">
        <v>349</v>
      </c>
      <c r="K32" s="195"/>
      <c r="L32" s="199" t="s">
        <v>361</v>
      </c>
      <c r="M32" s="171" t="s">
        <v>349</v>
      </c>
      <c r="P32" s="195"/>
      <c r="R32" s="202" t="s">
        <v>361</v>
      </c>
      <c r="S32">
        <v>1.2</v>
      </c>
      <c r="T32">
        <v>2</v>
      </c>
      <c r="U32" s="201">
        <v>6.5</v>
      </c>
      <c r="W32" s="199" t="s">
        <v>361</v>
      </c>
      <c r="X32">
        <v>2.2999999999999998</v>
      </c>
      <c r="Y32">
        <v>4</v>
      </c>
      <c r="Z32" s="195">
        <v>13</v>
      </c>
      <c r="AB32" s="203">
        <v>4</v>
      </c>
      <c r="AC32" s="204"/>
    </row>
    <row r="33" spans="1:33" x14ac:dyDescent="0.2">
      <c r="A33" s="199" t="s">
        <v>362</v>
      </c>
      <c r="D33" s="195"/>
      <c r="G33" s="199" t="s">
        <v>362</v>
      </c>
      <c r="H33">
        <v>100</v>
      </c>
      <c r="I33">
        <v>240</v>
      </c>
      <c r="J33">
        <v>100</v>
      </c>
      <c r="K33" s="195">
        <v>240</v>
      </c>
      <c r="L33" s="199" t="s">
        <v>362</v>
      </c>
      <c r="M33">
        <v>90</v>
      </c>
      <c r="N33">
        <v>264</v>
      </c>
      <c r="O33">
        <v>90</v>
      </c>
      <c r="P33" s="195">
        <v>264</v>
      </c>
      <c r="R33" s="202" t="s">
        <v>362</v>
      </c>
      <c r="S33">
        <v>0.66</v>
      </c>
      <c r="T33">
        <v>1.74</v>
      </c>
      <c r="U33" s="201">
        <v>5.2</v>
      </c>
      <c r="W33" s="199" t="s">
        <v>362</v>
      </c>
      <c r="X33">
        <v>1.26</v>
      </c>
      <c r="Y33">
        <v>3.24</v>
      </c>
      <c r="Z33" s="195">
        <v>10.4</v>
      </c>
    </row>
    <row r="34" spans="1:33" x14ac:dyDescent="0.2">
      <c r="A34" s="199" t="s">
        <v>363</v>
      </c>
      <c r="D34" s="195"/>
      <c r="G34" s="199" t="s">
        <v>363</v>
      </c>
      <c r="H34" t="s">
        <v>349</v>
      </c>
      <c r="K34" s="195"/>
      <c r="L34" s="199" t="s">
        <v>363</v>
      </c>
      <c r="M34" s="171" t="s">
        <v>349</v>
      </c>
      <c r="P34" s="195"/>
      <c r="R34" s="202" t="s">
        <v>363</v>
      </c>
      <c r="S34">
        <v>9</v>
      </c>
      <c r="T34">
        <v>16</v>
      </c>
      <c r="U34" s="201">
        <v>25</v>
      </c>
      <c r="W34" s="199" t="s">
        <v>363</v>
      </c>
      <c r="X34">
        <v>18</v>
      </c>
      <c r="Y34">
        <v>32</v>
      </c>
      <c r="Z34" s="195">
        <v>50</v>
      </c>
      <c r="AB34" s="175" t="s">
        <v>364</v>
      </c>
      <c r="AC34" s="185"/>
      <c r="AE34" t="s">
        <v>127</v>
      </c>
    </row>
    <row r="35" spans="1:33" x14ac:dyDescent="0.2">
      <c r="A35" s="199" t="s">
        <v>365</v>
      </c>
      <c r="D35" s="195"/>
      <c r="G35" s="199" t="s">
        <v>365</v>
      </c>
      <c r="H35" t="s">
        <v>349</v>
      </c>
      <c r="K35" s="195"/>
      <c r="L35" s="199" t="s">
        <v>365</v>
      </c>
      <c r="M35" s="171" t="s">
        <v>349</v>
      </c>
      <c r="P35" s="195"/>
      <c r="R35" s="202" t="s">
        <v>365</v>
      </c>
      <c r="S35">
        <v>9</v>
      </c>
      <c r="T35">
        <v>16</v>
      </c>
      <c r="U35" s="201">
        <v>25</v>
      </c>
      <c r="W35" s="199" t="s">
        <v>365</v>
      </c>
      <c r="X35">
        <v>18</v>
      </c>
      <c r="Y35">
        <v>32</v>
      </c>
      <c r="Z35" s="195">
        <v>50</v>
      </c>
      <c r="AB35" s="196">
        <v>5</v>
      </c>
      <c r="AC35" s="195"/>
      <c r="AE35" t="s">
        <v>166</v>
      </c>
    </row>
    <row r="36" spans="1:33" x14ac:dyDescent="0.2">
      <c r="A36" s="199" t="s">
        <v>366</v>
      </c>
      <c r="D36" s="195"/>
      <c r="G36" s="199" t="s">
        <v>366</v>
      </c>
      <c r="H36" t="s">
        <v>349</v>
      </c>
      <c r="K36" s="195"/>
      <c r="L36" s="199" t="s">
        <v>366</v>
      </c>
      <c r="M36" s="171" t="s">
        <v>349</v>
      </c>
      <c r="P36" s="195"/>
      <c r="R36" s="202" t="s">
        <v>366</v>
      </c>
      <c r="S36">
        <v>1.6</v>
      </c>
      <c r="T36">
        <v>1.6</v>
      </c>
      <c r="U36" s="201">
        <v>2.9</v>
      </c>
      <c r="W36" s="199" t="s">
        <v>366</v>
      </c>
      <c r="X36">
        <v>3.1</v>
      </c>
      <c r="Y36">
        <v>5.2</v>
      </c>
      <c r="Z36" s="195">
        <v>5.8</v>
      </c>
      <c r="AB36" s="196">
        <v>6</v>
      </c>
      <c r="AC36" s="195"/>
      <c r="AE36" t="s">
        <v>167</v>
      </c>
    </row>
    <row r="37" spans="1:33" x14ac:dyDescent="0.2">
      <c r="A37" s="199" t="s">
        <v>367</v>
      </c>
      <c r="D37" s="195"/>
      <c r="G37" s="199" t="s">
        <v>367</v>
      </c>
      <c r="H37" s="171" t="s">
        <v>349</v>
      </c>
      <c r="I37" s="171"/>
      <c r="J37" s="171"/>
      <c r="K37" s="198"/>
      <c r="L37" s="199" t="s">
        <v>367</v>
      </c>
      <c r="M37" s="171" t="s">
        <v>349</v>
      </c>
      <c r="P37" s="195"/>
      <c r="R37" s="202" t="s">
        <v>367</v>
      </c>
      <c r="S37">
        <v>1.6</v>
      </c>
      <c r="T37">
        <v>1.6</v>
      </c>
      <c r="U37" s="201">
        <v>2.9</v>
      </c>
      <c r="W37" s="199" t="s">
        <v>367</v>
      </c>
      <c r="X37">
        <v>3.1</v>
      </c>
      <c r="Y37">
        <v>3.2</v>
      </c>
      <c r="Z37" s="195">
        <v>5.8</v>
      </c>
      <c r="AB37" s="196">
        <v>7</v>
      </c>
      <c r="AC37" s="195"/>
      <c r="AE37" t="s">
        <v>168</v>
      </c>
    </row>
    <row r="38" spans="1:33" x14ac:dyDescent="0.2">
      <c r="A38" s="199" t="s">
        <v>368</v>
      </c>
      <c r="D38" s="195"/>
      <c r="G38" s="199" t="s">
        <v>368</v>
      </c>
      <c r="H38" s="171" t="s">
        <v>349</v>
      </c>
      <c r="I38" s="171"/>
      <c r="J38" s="171"/>
      <c r="K38" s="198"/>
      <c r="L38" s="199" t="s">
        <v>368</v>
      </c>
      <c r="M38" s="171" t="s">
        <v>349</v>
      </c>
      <c r="P38" s="195"/>
      <c r="R38" s="202" t="s">
        <v>368</v>
      </c>
      <c r="S38">
        <v>1.6</v>
      </c>
      <c r="T38">
        <v>2.5</v>
      </c>
      <c r="U38" s="201">
        <v>8.5</v>
      </c>
      <c r="W38" s="199" t="s">
        <v>368</v>
      </c>
      <c r="X38">
        <v>3.2</v>
      </c>
      <c r="Y38">
        <v>5</v>
      </c>
      <c r="Z38" s="195">
        <v>17</v>
      </c>
      <c r="AB38" s="196">
        <v>8</v>
      </c>
      <c r="AC38" s="195"/>
      <c r="AE38" t="s">
        <v>127</v>
      </c>
    </row>
    <row r="39" spans="1:33" x14ac:dyDescent="0.2">
      <c r="A39" s="199" t="s">
        <v>369</v>
      </c>
      <c r="D39" s="195"/>
      <c r="G39" s="199" t="s">
        <v>369</v>
      </c>
      <c r="H39" s="171" t="s">
        <v>349</v>
      </c>
      <c r="I39" s="171"/>
      <c r="J39" s="171"/>
      <c r="K39" s="198"/>
      <c r="L39" s="199" t="s">
        <v>369</v>
      </c>
      <c r="M39" s="171" t="s">
        <v>349</v>
      </c>
      <c r="P39" s="195"/>
      <c r="R39" s="202" t="s">
        <v>369</v>
      </c>
      <c r="S39">
        <v>1.6</v>
      </c>
      <c r="T39">
        <v>2.5</v>
      </c>
      <c r="U39" s="201">
        <v>8.5</v>
      </c>
      <c r="W39" s="199" t="s">
        <v>369</v>
      </c>
      <c r="X39">
        <v>3.2</v>
      </c>
      <c r="Y39">
        <v>5</v>
      </c>
      <c r="Z39" s="195">
        <v>17</v>
      </c>
      <c r="AB39" s="196">
        <v>9</v>
      </c>
      <c r="AC39" s="195"/>
      <c r="AE39" t="s">
        <v>252</v>
      </c>
    </row>
    <row r="40" spans="1:33" x14ac:dyDescent="0.2">
      <c r="A40" s="197" t="s">
        <v>370</v>
      </c>
      <c r="D40" s="195"/>
      <c r="G40" s="197" t="s">
        <v>370</v>
      </c>
      <c r="K40" s="195"/>
      <c r="L40" s="199" t="s">
        <v>370</v>
      </c>
      <c r="P40" s="195"/>
      <c r="R40" s="200" t="s">
        <v>370</v>
      </c>
      <c r="U40" s="201"/>
      <c r="W40" s="197" t="s">
        <v>370</v>
      </c>
      <c r="Z40" s="195"/>
      <c r="AB40" s="196">
        <v>10</v>
      </c>
      <c r="AC40" s="195"/>
      <c r="AE40" t="s">
        <v>253</v>
      </c>
    </row>
    <row r="41" spans="1:33" x14ac:dyDescent="0.2">
      <c r="A41" s="199" t="s">
        <v>371</v>
      </c>
      <c r="D41" s="195"/>
      <c r="G41" s="199" t="s">
        <v>371</v>
      </c>
      <c r="H41">
        <v>100</v>
      </c>
      <c r="I41">
        <v>240</v>
      </c>
      <c r="J41">
        <v>100</v>
      </c>
      <c r="K41" s="195">
        <v>240</v>
      </c>
      <c r="L41" s="199" t="s">
        <v>371</v>
      </c>
      <c r="M41">
        <v>90</v>
      </c>
      <c r="N41">
        <v>264</v>
      </c>
      <c r="O41">
        <v>90</v>
      </c>
      <c r="P41" s="195">
        <v>264</v>
      </c>
      <c r="R41" s="202" t="s">
        <v>371</v>
      </c>
      <c r="S41">
        <v>1.4</v>
      </c>
      <c r="T41">
        <v>1.6</v>
      </c>
      <c r="U41" s="201">
        <v>2.5</v>
      </c>
      <c r="W41" s="199" t="s">
        <v>371</v>
      </c>
      <c r="X41">
        <v>2.8</v>
      </c>
      <c r="Y41">
        <v>3.2</v>
      </c>
      <c r="Z41" s="195">
        <v>5</v>
      </c>
      <c r="AB41" s="196">
        <v>11</v>
      </c>
      <c r="AC41" s="195"/>
      <c r="AE41" t="s">
        <v>254</v>
      </c>
    </row>
    <row r="42" spans="1:33" x14ac:dyDescent="0.2">
      <c r="A42" s="199" t="s">
        <v>372</v>
      </c>
      <c r="D42" s="195"/>
      <c r="G42" s="199" t="s">
        <v>372</v>
      </c>
      <c r="H42">
        <v>100</v>
      </c>
      <c r="I42">
        <v>240</v>
      </c>
      <c r="J42">
        <v>100</v>
      </c>
      <c r="K42" s="195">
        <v>240</v>
      </c>
      <c r="L42" s="199" t="s">
        <v>372</v>
      </c>
      <c r="M42">
        <v>90</v>
      </c>
      <c r="N42">
        <v>264</v>
      </c>
      <c r="O42">
        <v>90</v>
      </c>
      <c r="P42" s="195">
        <v>264</v>
      </c>
      <c r="R42" s="202" t="s">
        <v>372</v>
      </c>
      <c r="S42">
        <v>1.6</v>
      </c>
      <c r="T42">
        <v>2.5</v>
      </c>
      <c r="U42" s="201">
        <v>8.5</v>
      </c>
      <c r="W42" s="199" t="s">
        <v>372</v>
      </c>
      <c r="X42">
        <v>3.2</v>
      </c>
      <c r="Y42">
        <v>5</v>
      </c>
      <c r="Z42" s="195">
        <v>17</v>
      </c>
      <c r="AB42" s="196">
        <v>12</v>
      </c>
      <c r="AC42" s="195"/>
      <c r="AE42" t="s">
        <v>373</v>
      </c>
    </row>
    <row r="43" spans="1:33" x14ac:dyDescent="0.2">
      <c r="A43" s="199" t="s">
        <v>374</v>
      </c>
      <c r="D43" s="195"/>
      <c r="G43" s="199" t="s">
        <v>374</v>
      </c>
      <c r="H43">
        <v>100</v>
      </c>
      <c r="I43">
        <v>240</v>
      </c>
      <c r="J43">
        <v>100</v>
      </c>
      <c r="K43" s="195">
        <v>240</v>
      </c>
      <c r="L43" s="199" t="s">
        <v>374</v>
      </c>
      <c r="M43">
        <v>90</v>
      </c>
      <c r="N43">
        <v>264</v>
      </c>
      <c r="O43">
        <v>90</v>
      </c>
      <c r="P43" s="195">
        <v>264</v>
      </c>
      <c r="R43" s="202" t="s">
        <v>374</v>
      </c>
      <c r="S43">
        <v>1.55</v>
      </c>
      <c r="T43">
        <v>1.7</v>
      </c>
      <c r="U43" s="201">
        <v>9</v>
      </c>
      <c r="W43" s="199" t="s">
        <v>374</v>
      </c>
      <c r="X43">
        <v>2.5499999999999998</v>
      </c>
      <c r="Y43">
        <v>2.9</v>
      </c>
      <c r="Z43" s="195">
        <v>12</v>
      </c>
      <c r="AB43" s="196">
        <v>13</v>
      </c>
      <c r="AC43" s="195"/>
      <c r="AE43" t="s">
        <v>375</v>
      </c>
    </row>
    <row r="44" spans="1:33" x14ac:dyDescent="0.2">
      <c r="A44" s="199" t="s">
        <v>376</v>
      </c>
      <c r="D44" s="195"/>
      <c r="G44" s="199" t="s">
        <v>376</v>
      </c>
      <c r="H44">
        <v>105</v>
      </c>
      <c r="I44">
        <v>130</v>
      </c>
      <c r="J44">
        <v>210</v>
      </c>
      <c r="K44" s="195">
        <v>260</v>
      </c>
      <c r="L44" s="199" t="s">
        <v>376</v>
      </c>
      <c r="M44">
        <v>105</v>
      </c>
      <c r="N44">
        <v>130</v>
      </c>
      <c r="O44">
        <v>210</v>
      </c>
      <c r="P44" s="195">
        <v>260</v>
      </c>
      <c r="R44" s="202" t="s">
        <v>376</v>
      </c>
      <c r="S44">
        <v>0.5</v>
      </c>
      <c r="T44">
        <v>0.65</v>
      </c>
      <c r="U44" s="201">
        <v>2</v>
      </c>
      <c r="W44" s="199" t="s">
        <v>376</v>
      </c>
      <c r="X44">
        <v>1</v>
      </c>
      <c r="Y44">
        <v>1.3</v>
      </c>
      <c r="Z44" s="195">
        <v>2.9</v>
      </c>
      <c r="AB44" s="196">
        <v>14</v>
      </c>
      <c r="AC44" s="195"/>
      <c r="AE44" t="s">
        <v>377</v>
      </c>
    </row>
    <row r="45" spans="1:33" x14ac:dyDescent="0.2">
      <c r="A45" s="403" t="s">
        <v>378</v>
      </c>
      <c r="B45" s="171"/>
      <c r="C45" s="171"/>
      <c r="D45" s="405"/>
      <c r="E45" s="171"/>
      <c r="F45" s="171"/>
      <c r="G45" s="403" t="s">
        <v>378</v>
      </c>
      <c r="H45" s="171">
        <v>100</v>
      </c>
      <c r="I45" s="171">
        <v>240</v>
      </c>
      <c r="J45" s="171">
        <v>100</v>
      </c>
      <c r="K45" s="405">
        <v>240</v>
      </c>
      <c r="L45" s="171" t="s">
        <v>378</v>
      </c>
      <c r="M45" s="171">
        <v>90</v>
      </c>
      <c r="N45" s="171">
        <v>265</v>
      </c>
      <c r="O45" s="171">
        <v>90</v>
      </c>
      <c r="P45" s="405">
        <v>265</v>
      </c>
      <c r="Q45" s="171"/>
      <c r="R45" s="403" t="s">
        <v>378</v>
      </c>
      <c r="S45" s="171">
        <v>1</v>
      </c>
      <c r="T45" s="171">
        <v>1.8</v>
      </c>
      <c r="U45" s="405">
        <v>9.1</v>
      </c>
      <c r="V45" s="171"/>
      <c r="W45" s="403" t="s">
        <v>378</v>
      </c>
      <c r="X45" s="171">
        <v>2</v>
      </c>
      <c r="Y45" s="171">
        <v>3.7</v>
      </c>
      <c r="Z45" s="405">
        <v>8.1999999999999993</v>
      </c>
      <c r="AA45" s="171"/>
      <c r="AB45" s="403"/>
      <c r="AC45" s="405"/>
      <c r="AD45" s="171"/>
      <c r="AE45" s="171"/>
      <c r="AF45" s="171"/>
      <c r="AG45" s="171"/>
    </row>
    <row r="46" spans="1:33" x14ac:dyDescent="0.2">
      <c r="A46" s="199" t="s">
        <v>379</v>
      </c>
      <c r="D46" s="195"/>
      <c r="G46" s="199" t="s">
        <v>379</v>
      </c>
      <c r="H46">
        <v>95</v>
      </c>
      <c r="I46">
        <v>125</v>
      </c>
      <c r="J46">
        <v>208</v>
      </c>
      <c r="K46" s="195">
        <v>235</v>
      </c>
      <c r="L46" s="199" t="s">
        <v>379</v>
      </c>
      <c r="M46">
        <v>85</v>
      </c>
      <c r="N46">
        <v>134</v>
      </c>
      <c r="O46">
        <v>165</v>
      </c>
      <c r="P46" s="195">
        <v>264</v>
      </c>
      <c r="R46" s="202" t="s">
        <v>379</v>
      </c>
      <c r="S46">
        <v>2</v>
      </c>
      <c r="T46">
        <v>3.9</v>
      </c>
      <c r="U46" s="201">
        <v>10.5</v>
      </c>
      <c r="W46" s="199" t="s">
        <v>379</v>
      </c>
      <c r="X46">
        <v>3.9</v>
      </c>
      <c r="Y46">
        <v>7</v>
      </c>
      <c r="Z46" s="195">
        <v>18</v>
      </c>
      <c r="AB46" s="196">
        <v>15</v>
      </c>
      <c r="AC46" s="195"/>
    </row>
    <row r="47" spans="1:33" x14ac:dyDescent="0.2">
      <c r="A47" s="197" t="s">
        <v>380</v>
      </c>
      <c r="D47" s="195"/>
      <c r="G47" s="197" t="s">
        <v>380</v>
      </c>
      <c r="K47" s="195"/>
      <c r="L47" s="199" t="s">
        <v>380</v>
      </c>
      <c r="P47" s="195"/>
      <c r="R47" s="200" t="s">
        <v>380</v>
      </c>
      <c r="U47" s="201"/>
      <c r="W47" s="197" t="s">
        <v>380</v>
      </c>
      <c r="Z47" s="195"/>
    </row>
    <row r="48" spans="1:33" x14ac:dyDescent="0.2">
      <c r="A48" s="197" t="s">
        <v>245</v>
      </c>
      <c r="D48" s="195"/>
      <c r="G48" s="197" t="s">
        <v>245</v>
      </c>
      <c r="K48" s="195"/>
      <c r="L48" s="197" t="s">
        <v>245</v>
      </c>
      <c r="P48" s="195"/>
      <c r="R48" s="197" t="s">
        <v>245</v>
      </c>
      <c r="S48">
        <v>0.8</v>
      </c>
      <c r="T48">
        <v>1.1000000000000001</v>
      </c>
      <c r="U48" s="201">
        <v>2.9</v>
      </c>
      <c r="W48" s="197" t="s">
        <v>245</v>
      </c>
      <c r="X48">
        <v>1.7</v>
      </c>
      <c r="Y48">
        <v>2.6</v>
      </c>
      <c r="Z48" s="195">
        <v>6.9</v>
      </c>
    </row>
    <row r="49" spans="1:33" x14ac:dyDescent="0.2">
      <c r="A49" s="199" t="s">
        <v>246</v>
      </c>
      <c r="D49" s="195"/>
      <c r="G49" s="199" t="s">
        <v>246</v>
      </c>
      <c r="H49">
        <v>100</v>
      </c>
      <c r="I49">
        <v>240</v>
      </c>
      <c r="J49">
        <v>100</v>
      </c>
      <c r="K49" s="195">
        <v>240</v>
      </c>
      <c r="L49" s="199" t="s">
        <v>246</v>
      </c>
      <c r="M49">
        <v>90</v>
      </c>
      <c r="N49">
        <v>264</v>
      </c>
      <c r="O49">
        <v>90</v>
      </c>
      <c r="P49" s="195">
        <v>264</v>
      </c>
      <c r="R49" s="202" t="s">
        <v>246</v>
      </c>
      <c r="S49">
        <v>1.1000000000000001</v>
      </c>
      <c r="T49">
        <v>2.4</v>
      </c>
      <c r="U49" s="201">
        <v>2.4</v>
      </c>
      <c r="W49" s="199" t="s">
        <v>246</v>
      </c>
      <c r="X49">
        <v>1.8</v>
      </c>
      <c r="Y49">
        <v>5.0999999999999996</v>
      </c>
      <c r="Z49" s="195">
        <v>5</v>
      </c>
      <c r="AB49" s="175" t="s">
        <v>304</v>
      </c>
      <c r="AC49" s="185"/>
      <c r="AE49" s="175" t="s">
        <v>381</v>
      </c>
      <c r="AF49" s="185"/>
    </row>
    <row r="50" spans="1:33" x14ac:dyDescent="0.2">
      <c r="A50" s="199" t="s">
        <v>382</v>
      </c>
      <c r="D50" s="195"/>
      <c r="G50" s="199" t="s">
        <v>382</v>
      </c>
      <c r="H50" s="171">
        <v>95</v>
      </c>
      <c r="I50">
        <v>125</v>
      </c>
      <c r="J50">
        <v>208</v>
      </c>
      <c r="K50" s="195">
        <v>235</v>
      </c>
      <c r="L50" s="199" t="s">
        <v>382</v>
      </c>
      <c r="M50">
        <v>105</v>
      </c>
      <c r="N50">
        <v>130</v>
      </c>
      <c r="O50">
        <v>210</v>
      </c>
      <c r="P50" s="195">
        <v>264</v>
      </c>
      <c r="R50" s="202" t="s">
        <v>382</v>
      </c>
      <c r="S50">
        <v>2.37</v>
      </c>
      <c r="T50">
        <v>4.0999999999999996</v>
      </c>
      <c r="U50" s="201">
        <v>10</v>
      </c>
      <c r="W50" s="199" t="s">
        <v>382</v>
      </c>
      <c r="X50">
        <v>4.67</v>
      </c>
      <c r="Y50">
        <v>7.9</v>
      </c>
      <c r="Z50" s="195">
        <v>20</v>
      </c>
      <c r="AB50" s="196" t="s">
        <v>383</v>
      </c>
      <c r="AC50" s="195"/>
      <c r="AE50" s="196" t="s">
        <v>384</v>
      </c>
      <c r="AF50" s="195"/>
    </row>
    <row r="51" spans="1:33" x14ac:dyDescent="0.2">
      <c r="A51" s="199" t="s">
        <v>385</v>
      </c>
      <c r="D51" s="195"/>
      <c r="G51" s="199" t="s">
        <v>385</v>
      </c>
      <c r="H51">
        <v>100</v>
      </c>
      <c r="I51">
        <v>240</v>
      </c>
      <c r="J51">
        <v>100</v>
      </c>
      <c r="K51" s="195">
        <v>240</v>
      </c>
      <c r="L51" s="199" t="s">
        <v>385</v>
      </c>
      <c r="M51">
        <v>90</v>
      </c>
      <c r="N51">
        <v>264</v>
      </c>
      <c r="O51">
        <v>90</v>
      </c>
      <c r="P51" s="195">
        <v>264</v>
      </c>
      <c r="R51" s="202" t="s">
        <v>385</v>
      </c>
      <c r="S51">
        <v>1.4</v>
      </c>
      <c r="T51">
        <v>1.6</v>
      </c>
      <c r="U51" s="201">
        <v>2.5</v>
      </c>
      <c r="W51" s="199" t="s">
        <v>385</v>
      </c>
      <c r="X51">
        <v>2.8</v>
      </c>
      <c r="Y51">
        <v>3.2</v>
      </c>
      <c r="Z51" s="195">
        <v>5</v>
      </c>
      <c r="AB51" s="203"/>
      <c r="AC51" s="204"/>
      <c r="AE51" s="203"/>
      <c r="AF51" s="204"/>
    </row>
    <row r="52" spans="1:33" x14ac:dyDescent="0.2">
      <c r="A52" s="403" t="s">
        <v>386</v>
      </c>
      <c r="B52" s="171"/>
      <c r="C52" s="171"/>
      <c r="D52" s="405"/>
      <c r="E52" s="171"/>
      <c r="F52" s="171"/>
      <c r="G52" s="403" t="s">
        <v>386</v>
      </c>
      <c r="H52" s="171"/>
      <c r="I52" s="171"/>
      <c r="J52" s="171"/>
      <c r="K52" s="405"/>
      <c r="L52" s="171" t="s">
        <v>386</v>
      </c>
      <c r="M52" s="171"/>
      <c r="N52" s="171"/>
      <c r="O52" s="171"/>
      <c r="P52" s="405"/>
      <c r="Q52" s="171"/>
      <c r="R52" s="403" t="s">
        <v>386</v>
      </c>
      <c r="S52" s="171"/>
      <c r="T52" s="171"/>
      <c r="U52" s="405"/>
      <c r="V52" s="171"/>
      <c r="W52" s="403" t="s">
        <v>386</v>
      </c>
      <c r="X52" s="171"/>
      <c r="Y52" s="171"/>
      <c r="Z52" s="405"/>
      <c r="AA52" s="171"/>
      <c r="AB52" s="171"/>
      <c r="AC52" s="171"/>
      <c r="AD52" s="171"/>
      <c r="AE52" s="171"/>
      <c r="AF52" s="171"/>
      <c r="AG52" s="171"/>
    </row>
    <row r="53" spans="1:33" x14ac:dyDescent="0.2">
      <c r="A53" s="403" t="s">
        <v>387</v>
      </c>
      <c r="B53" s="171"/>
      <c r="C53" s="171"/>
      <c r="D53" s="405"/>
      <c r="E53" s="171"/>
      <c r="F53" s="171"/>
      <c r="G53" s="403" t="s">
        <v>387</v>
      </c>
      <c r="H53" s="171">
        <v>100</v>
      </c>
      <c r="I53" s="171">
        <v>240</v>
      </c>
      <c r="J53" s="171">
        <v>100</v>
      </c>
      <c r="K53" s="405">
        <v>240</v>
      </c>
      <c r="L53" s="171" t="s">
        <v>387</v>
      </c>
      <c r="M53" s="171">
        <v>90</v>
      </c>
      <c r="N53" s="171">
        <v>265</v>
      </c>
      <c r="O53" s="171">
        <v>90</v>
      </c>
      <c r="P53" s="405">
        <v>265</v>
      </c>
      <c r="Q53" s="171"/>
      <c r="R53" s="403" t="s">
        <v>387</v>
      </c>
      <c r="S53" s="171">
        <v>0.36</v>
      </c>
      <c r="T53" s="171">
        <v>0.51</v>
      </c>
      <c r="U53" s="405">
        <v>1.4</v>
      </c>
      <c r="V53" s="171"/>
      <c r="W53" s="403" t="s">
        <v>387</v>
      </c>
      <c r="X53" s="171">
        <v>0.68</v>
      </c>
      <c r="Y53" s="171">
        <v>1.02</v>
      </c>
      <c r="Z53" s="405">
        <v>2.7</v>
      </c>
      <c r="AA53" s="171"/>
      <c r="AB53" s="171"/>
      <c r="AC53" s="171"/>
      <c r="AD53" s="171"/>
      <c r="AE53" s="171"/>
      <c r="AF53" s="171"/>
      <c r="AG53" s="171"/>
    </row>
    <row r="54" spans="1:33" x14ac:dyDescent="0.2">
      <c r="A54" s="403" t="s">
        <v>388</v>
      </c>
      <c r="B54" s="171"/>
      <c r="C54" s="171"/>
      <c r="D54" s="405"/>
      <c r="E54" s="171"/>
      <c r="F54" s="171"/>
      <c r="G54" s="403" t="s">
        <v>388</v>
      </c>
      <c r="H54" s="171">
        <v>100</v>
      </c>
      <c r="I54" s="171">
        <v>240</v>
      </c>
      <c r="J54" s="171">
        <v>100</v>
      </c>
      <c r="K54" s="405">
        <v>240</v>
      </c>
      <c r="L54" s="171" t="s">
        <v>388</v>
      </c>
      <c r="M54" s="171">
        <v>90</v>
      </c>
      <c r="N54" s="171">
        <v>265</v>
      </c>
      <c r="O54" s="171">
        <v>90</v>
      </c>
      <c r="P54" s="405">
        <v>265</v>
      </c>
      <c r="Q54" s="171"/>
      <c r="R54" s="403" t="s">
        <v>388</v>
      </c>
      <c r="S54" s="171">
        <v>0.7</v>
      </c>
      <c r="T54" s="171">
        <v>1.5</v>
      </c>
      <c r="U54" s="405">
        <v>3.7</v>
      </c>
      <c r="V54" s="171"/>
      <c r="W54" s="403" t="s">
        <v>388</v>
      </c>
      <c r="X54" s="171">
        <v>1.4</v>
      </c>
      <c r="Y54" s="171">
        <v>2.9</v>
      </c>
      <c r="Z54" s="405">
        <v>7.4</v>
      </c>
      <c r="AA54" s="171"/>
      <c r="AB54" s="171"/>
      <c r="AC54" s="171"/>
      <c r="AD54" s="171"/>
      <c r="AE54" s="171"/>
      <c r="AF54" s="171"/>
      <c r="AG54" s="171"/>
    </row>
    <row r="55" spans="1:33" x14ac:dyDescent="0.2">
      <c r="A55" s="403" t="s">
        <v>389</v>
      </c>
      <c r="B55" s="171"/>
      <c r="C55" s="171"/>
      <c r="D55" s="405"/>
      <c r="E55" s="171"/>
      <c r="F55" s="171"/>
      <c r="G55" s="403" t="s">
        <v>389</v>
      </c>
      <c r="H55" s="171">
        <v>100</v>
      </c>
      <c r="I55" s="171">
        <v>240</v>
      </c>
      <c r="J55" s="171">
        <v>100</v>
      </c>
      <c r="K55" s="405">
        <v>240</v>
      </c>
      <c r="L55" s="171" t="s">
        <v>389</v>
      </c>
      <c r="M55" s="171">
        <v>90</v>
      </c>
      <c r="N55" s="171">
        <v>265</v>
      </c>
      <c r="O55" s="171">
        <v>90</v>
      </c>
      <c r="P55" s="405">
        <v>265</v>
      </c>
      <c r="Q55" s="171"/>
      <c r="R55" s="403" t="s">
        <v>389</v>
      </c>
      <c r="S55" s="171">
        <v>0.7</v>
      </c>
      <c r="T55" s="171">
        <v>1.1000000000000001</v>
      </c>
      <c r="U55" s="405">
        <v>6</v>
      </c>
      <c r="V55" s="171"/>
      <c r="W55" s="403" t="s">
        <v>389</v>
      </c>
      <c r="X55" s="171">
        <v>1.4</v>
      </c>
      <c r="Y55" s="171">
        <v>2.7</v>
      </c>
      <c r="Z55" s="405">
        <v>9</v>
      </c>
      <c r="AA55" s="171"/>
      <c r="AB55" s="171"/>
      <c r="AC55" s="171"/>
      <c r="AD55" s="171"/>
      <c r="AE55" s="171"/>
      <c r="AF55" s="171"/>
      <c r="AG55" s="171"/>
    </row>
    <row r="56" spans="1:33" x14ac:dyDescent="0.2">
      <c r="A56" s="403" t="s">
        <v>390</v>
      </c>
      <c r="B56" s="171"/>
      <c r="C56" s="171"/>
      <c r="D56" s="405"/>
      <c r="E56" s="171"/>
      <c r="F56" s="171"/>
      <c r="G56" s="403" t="s">
        <v>390</v>
      </c>
      <c r="H56" s="171">
        <v>95</v>
      </c>
      <c r="I56" s="171">
        <v>125</v>
      </c>
      <c r="J56" s="171">
        <v>208</v>
      </c>
      <c r="K56" s="405">
        <v>235</v>
      </c>
      <c r="L56" s="171" t="s">
        <v>390</v>
      </c>
      <c r="M56" s="171">
        <v>85</v>
      </c>
      <c r="N56" s="171">
        <v>134</v>
      </c>
      <c r="O56" s="171">
        <v>165</v>
      </c>
      <c r="P56" s="405">
        <v>264</v>
      </c>
      <c r="Q56" s="171"/>
      <c r="R56" s="403" t="s">
        <v>390</v>
      </c>
      <c r="S56" s="171">
        <v>4</v>
      </c>
      <c r="T56" s="171">
        <v>8</v>
      </c>
      <c r="U56" s="405">
        <v>11</v>
      </c>
      <c r="V56" s="171"/>
      <c r="W56" s="403" t="s">
        <v>390</v>
      </c>
      <c r="X56" s="171">
        <v>8</v>
      </c>
      <c r="Y56" s="171">
        <v>15</v>
      </c>
      <c r="Z56" s="405">
        <v>22</v>
      </c>
      <c r="AA56" s="171"/>
      <c r="AB56" s="171"/>
      <c r="AC56" s="171"/>
      <c r="AD56" s="171"/>
      <c r="AE56" s="171"/>
      <c r="AF56" s="171"/>
      <c r="AG56" s="171"/>
    </row>
    <row r="57" spans="1:33" x14ac:dyDescent="0.2">
      <c r="A57" s="403" t="s">
        <v>391</v>
      </c>
      <c r="B57" s="171"/>
      <c r="C57" s="171"/>
      <c r="D57" s="405"/>
      <c r="E57" s="171"/>
      <c r="F57" s="171"/>
      <c r="G57" s="403" t="s">
        <v>391</v>
      </c>
      <c r="H57" s="171"/>
      <c r="I57" s="171"/>
      <c r="J57" s="171"/>
      <c r="K57" s="405"/>
      <c r="L57" s="171" t="s">
        <v>391</v>
      </c>
      <c r="M57" s="171"/>
      <c r="N57" s="171"/>
      <c r="O57" s="171"/>
      <c r="P57" s="405"/>
      <c r="Q57" s="171"/>
      <c r="R57" s="403" t="s">
        <v>391</v>
      </c>
      <c r="S57" s="171"/>
      <c r="T57" s="171"/>
      <c r="U57" s="405"/>
      <c r="V57" s="171"/>
      <c r="W57" s="403" t="s">
        <v>391</v>
      </c>
      <c r="X57" s="171"/>
      <c r="Y57" s="171"/>
      <c r="Z57" s="405"/>
      <c r="AA57" s="171"/>
      <c r="AB57" s="171"/>
      <c r="AC57" s="171"/>
      <c r="AD57" s="171"/>
      <c r="AE57" s="171"/>
      <c r="AF57" s="171"/>
      <c r="AG57" s="171"/>
    </row>
    <row r="58" spans="1:33" x14ac:dyDescent="0.2">
      <c r="A58" s="403" t="s">
        <v>392</v>
      </c>
      <c r="B58" s="171"/>
      <c r="C58" s="171"/>
      <c r="D58" s="405"/>
      <c r="E58" s="171"/>
      <c r="F58" s="171"/>
      <c r="G58" s="403" t="s">
        <v>392</v>
      </c>
      <c r="H58" s="171">
        <v>100</v>
      </c>
      <c r="I58" s="171">
        <v>240</v>
      </c>
      <c r="J58" s="171">
        <v>100</v>
      </c>
      <c r="K58" s="405">
        <v>240</v>
      </c>
      <c r="L58" s="171" t="s">
        <v>392</v>
      </c>
      <c r="M58" s="171">
        <v>90</v>
      </c>
      <c r="N58" s="171">
        <v>264</v>
      </c>
      <c r="O58" s="171">
        <v>90</v>
      </c>
      <c r="P58" s="405">
        <v>265</v>
      </c>
      <c r="Q58" s="171"/>
      <c r="R58" s="403" t="s">
        <v>392</v>
      </c>
      <c r="S58" s="171">
        <v>1.7</v>
      </c>
      <c r="T58" s="171">
        <v>2.9</v>
      </c>
      <c r="U58" s="405">
        <v>7</v>
      </c>
      <c r="V58" s="171"/>
      <c r="W58" s="403" t="s">
        <v>392</v>
      </c>
      <c r="X58" s="171">
        <v>3.3</v>
      </c>
      <c r="Y58" s="171">
        <v>5.9</v>
      </c>
      <c r="Z58" s="405">
        <v>13</v>
      </c>
      <c r="AA58" s="171"/>
      <c r="AB58" s="171"/>
      <c r="AC58" s="171"/>
      <c r="AD58" s="171"/>
      <c r="AE58" s="171"/>
      <c r="AF58" s="171"/>
      <c r="AG58" s="171"/>
    </row>
    <row r="59" spans="1:33" x14ac:dyDescent="0.2">
      <c r="A59" s="403" t="s">
        <v>393</v>
      </c>
      <c r="B59" s="171"/>
      <c r="C59" s="171"/>
      <c r="D59" s="405"/>
      <c r="E59" s="171"/>
      <c r="F59" s="171"/>
      <c r="G59" s="403" t="s">
        <v>393</v>
      </c>
      <c r="H59" s="171">
        <v>100</v>
      </c>
      <c r="I59" s="171">
        <v>240</v>
      </c>
      <c r="J59" s="171">
        <v>100</v>
      </c>
      <c r="K59" s="405">
        <v>240</v>
      </c>
      <c r="L59" s="171" t="s">
        <v>393</v>
      </c>
      <c r="M59" s="171">
        <v>90</v>
      </c>
      <c r="N59" s="171">
        <v>265</v>
      </c>
      <c r="O59" s="171">
        <v>90</v>
      </c>
      <c r="P59" s="405">
        <v>265</v>
      </c>
      <c r="Q59" s="171"/>
      <c r="R59" s="403" t="s">
        <v>393</v>
      </c>
      <c r="S59" s="171">
        <v>3.1</v>
      </c>
      <c r="T59" s="171">
        <v>5.4</v>
      </c>
      <c r="U59" s="405">
        <v>13</v>
      </c>
      <c r="V59" s="171"/>
      <c r="W59" s="403" t="s">
        <v>393</v>
      </c>
      <c r="X59" s="171">
        <v>6.1</v>
      </c>
      <c r="Y59" s="171">
        <v>10.8</v>
      </c>
      <c r="Z59" s="405">
        <v>24</v>
      </c>
      <c r="AA59" s="171"/>
      <c r="AB59" s="171"/>
      <c r="AC59" s="171"/>
      <c r="AD59" s="171"/>
      <c r="AE59" s="171"/>
      <c r="AF59" s="171"/>
      <c r="AG59" s="171"/>
    </row>
    <row r="60" spans="1:33" x14ac:dyDescent="0.2">
      <c r="A60" s="403" t="s">
        <v>394</v>
      </c>
      <c r="B60" s="171"/>
      <c r="C60" s="171"/>
      <c r="D60" s="405"/>
      <c r="E60" s="171"/>
      <c r="F60" s="171"/>
      <c r="G60" s="403" t="s">
        <v>394</v>
      </c>
      <c r="H60" s="171">
        <v>100</v>
      </c>
      <c r="I60" s="171">
        <v>240</v>
      </c>
      <c r="J60" s="171">
        <v>100</v>
      </c>
      <c r="K60" s="405">
        <v>240</v>
      </c>
      <c r="L60" s="171" t="s">
        <v>394</v>
      </c>
      <c r="M60" s="171">
        <v>90</v>
      </c>
      <c r="N60" s="171">
        <v>265</v>
      </c>
      <c r="O60" s="171">
        <v>90</v>
      </c>
      <c r="P60" s="405">
        <v>265</v>
      </c>
      <c r="Q60" s="171"/>
      <c r="R60" s="403" t="s">
        <v>394</v>
      </c>
      <c r="S60" s="171">
        <v>4.2</v>
      </c>
      <c r="T60" s="171">
        <v>7.3</v>
      </c>
      <c r="U60" s="405">
        <v>18</v>
      </c>
      <c r="V60" s="171"/>
      <c r="W60" s="403" t="s">
        <v>394</v>
      </c>
      <c r="X60" s="171">
        <v>8.3000000000000007</v>
      </c>
      <c r="Y60" s="171">
        <v>14.7</v>
      </c>
      <c r="Z60" s="405">
        <v>33</v>
      </c>
      <c r="AA60" s="171"/>
      <c r="AB60" s="171"/>
      <c r="AC60" s="171"/>
      <c r="AD60" s="171"/>
      <c r="AE60" s="171"/>
      <c r="AF60" s="171"/>
      <c r="AG60" s="171"/>
    </row>
    <row r="61" spans="1:33" x14ac:dyDescent="0.2">
      <c r="A61" s="197" t="s">
        <v>395</v>
      </c>
      <c r="D61" s="195"/>
      <c r="G61" s="197" t="s">
        <v>395</v>
      </c>
      <c r="K61" s="195"/>
      <c r="L61" s="199" t="s">
        <v>395</v>
      </c>
      <c r="P61" s="195"/>
      <c r="R61" s="200" t="s">
        <v>395</v>
      </c>
      <c r="U61" s="201"/>
      <c r="W61" s="197" t="s">
        <v>395</v>
      </c>
      <c r="Z61" s="195"/>
    </row>
    <row r="62" spans="1:33" x14ac:dyDescent="0.2">
      <c r="A62" s="206" t="s">
        <v>396</v>
      </c>
      <c r="B62" s="205"/>
      <c r="C62" s="205"/>
      <c r="D62" s="204"/>
      <c r="G62" s="206" t="s">
        <v>396</v>
      </c>
      <c r="H62" s="205">
        <v>95</v>
      </c>
      <c r="I62" s="205">
        <v>125</v>
      </c>
      <c r="J62" s="205">
        <v>208</v>
      </c>
      <c r="K62" s="204">
        <v>235</v>
      </c>
      <c r="L62" s="206" t="s">
        <v>396</v>
      </c>
      <c r="M62" s="205">
        <v>85</v>
      </c>
      <c r="N62" s="205">
        <v>134</v>
      </c>
      <c r="O62" s="205">
        <v>165</v>
      </c>
      <c r="P62" s="204">
        <v>264</v>
      </c>
      <c r="R62" s="202" t="s">
        <v>396</v>
      </c>
      <c r="S62">
        <v>4</v>
      </c>
      <c r="T62">
        <v>8</v>
      </c>
      <c r="U62" s="201">
        <v>11</v>
      </c>
      <c r="W62" s="199" t="s">
        <v>396</v>
      </c>
      <c r="X62">
        <v>8</v>
      </c>
      <c r="Y62">
        <v>15</v>
      </c>
      <c r="Z62" s="195">
        <v>22</v>
      </c>
      <c r="AB62" s="339" t="s">
        <v>101</v>
      </c>
      <c r="AE62" s="175" t="s">
        <v>270</v>
      </c>
      <c r="AF62" s="185"/>
    </row>
    <row r="63" spans="1:33" x14ac:dyDescent="0.2">
      <c r="R63" s="200" t="s">
        <v>397</v>
      </c>
      <c r="U63" s="201"/>
      <c r="W63" s="197" t="s">
        <v>398</v>
      </c>
      <c r="Z63" s="195"/>
      <c r="AB63" s="340" t="s">
        <v>399</v>
      </c>
      <c r="AE63" s="203" t="s">
        <v>400</v>
      </c>
      <c r="AF63" s="204"/>
    </row>
    <row r="64" spans="1:33" x14ac:dyDescent="0.2">
      <c r="R64" s="199" t="s">
        <v>186</v>
      </c>
      <c r="S64">
        <f>'EU MDM-832'!X28</f>
        <v>18.399999999999999</v>
      </c>
      <c r="T64">
        <f>'EU MDM-832'!D5</f>
        <v>32.4</v>
      </c>
      <c r="U64" s="195">
        <f>'EU MDM-832'!D6</f>
        <v>53.999999999999986</v>
      </c>
      <c r="W64" s="199" t="s">
        <v>273</v>
      </c>
      <c r="X64" s="93">
        <f>'US MDM-832'!D14+'US MDM-832'!F14+'US MDM-832'!H14+'US MDM-832'!J14+'US MDM-832'!L14+'US MDM-832'!N14+'US MDM-832'!P14+'US MDM-832'!R14</f>
        <v>13.416666666666666</v>
      </c>
      <c r="Y64" s="93">
        <f>'US MDM-832'!D5</f>
        <v>29.516666666666666</v>
      </c>
      <c r="Z64" s="238">
        <f>'US MDM-832'!D6</f>
        <v>45.61666666666666</v>
      </c>
    </row>
    <row r="65" spans="18:26" x14ac:dyDescent="0.2">
      <c r="R65" s="199" t="s">
        <v>187</v>
      </c>
      <c r="S65">
        <f>'EU MDM-832'!X66</f>
        <v>8.7999999999999989</v>
      </c>
      <c r="T65">
        <f>'EU MDM-832'!D43</f>
        <v>19.2</v>
      </c>
      <c r="U65" s="195">
        <f>'EU MDM-832'!D44</f>
        <v>19.2</v>
      </c>
      <c r="W65" s="199" t="s">
        <v>274</v>
      </c>
      <c r="X65" s="93"/>
      <c r="Y65" s="93"/>
      <c r="Z65" s="238"/>
    </row>
    <row r="66" spans="18:26" x14ac:dyDescent="0.2">
      <c r="R66" s="199" t="s">
        <v>188</v>
      </c>
      <c r="S66">
        <f>'EU MDM-832'!X104</f>
        <v>8.7999999999999989</v>
      </c>
      <c r="T66">
        <f>'EU MDM-832'!D81</f>
        <v>19.2</v>
      </c>
      <c r="U66" s="195">
        <f>'EU MDM-832'!D82</f>
        <v>19.2</v>
      </c>
      <c r="W66" s="199" t="s">
        <v>275</v>
      </c>
      <c r="X66" s="93"/>
      <c r="Y66" s="93"/>
      <c r="Z66" s="238"/>
    </row>
    <row r="67" spans="18:26" x14ac:dyDescent="0.2">
      <c r="R67" s="199" t="s">
        <v>189</v>
      </c>
      <c r="S67">
        <f>'EU MDM-832'!X142</f>
        <v>8.7999999999999989</v>
      </c>
      <c r="T67">
        <f>'EU MDM-832'!D119</f>
        <v>19.2</v>
      </c>
      <c r="U67" s="195">
        <f>'EU MDM-832'!D120</f>
        <v>19.2</v>
      </c>
      <c r="W67" s="199" t="s">
        <v>401</v>
      </c>
      <c r="X67" s="93"/>
      <c r="Y67" s="93"/>
      <c r="Z67" s="238"/>
    </row>
    <row r="68" spans="18:26" x14ac:dyDescent="0.2">
      <c r="R68" s="199" t="s">
        <v>190</v>
      </c>
      <c r="S68">
        <f>'EU MDM-832'!X180</f>
        <v>8.7999999999999989</v>
      </c>
      <c r="T68">
        <f>'EU MDM-832'!D157</f>
        <v>19.2</v>
      </c>
      <c r="U68" s="195">
        <f>'EU MDM-832'!D158</f>
        <v>19.2</v>
      </c>
      <c r="W68" s="199" t="s">
        <v>277</v>
      </c>
      <c r="X68" s="93"/>
      <c r="Y68" s="93"/>
      <c r="Z68" s="238"/>
    </row>
    <row r="69" spans="18:26" x14ac:dyDescent="0.2">
      <c r="R69" s="199" t="s">
        <v>191</v>
      </c>
      <c r="S69">
        <f>'EU MDM-832'!X218</f>
        <v>8.7999999999999989</v>
      </c>
      <c r="T69">
        <f>'EU MDM-832'!D195</f>
        <v>19.2</v>
      </c>
      <c r="U69" s="195">
        <f>'EU MDM-832'!D196</f>
        <v>19.2</v>
      </c>
      <c r="W69" s="206" t="s">
        <v>278</v>
      </c>
      <c r="X69" s="239"/>
      <c r="Y69" s="239"/>
      <c r="Z69" s="240"/>
    </row>
    <row r="70" spans="18:26" x14ac:dyDescent="0.2">
      <c r="R70" s="241" t="s">
        <v>398</v>
      </c>
      <c r="S70" s="181"/>
      <c r="T70" s="181"/>
      <c r="U70" s="182"/>
    </row>
    <row r="71" spans="18:26" x14ac:dyDescent="0.2">
      <c r="R71" s="202" t="s">
        <v>273</v>
      </c>
      <c r="S71" s="93">
        <f t="shared" ref="S71:U76" si="0">X64*($W$3/$R$3)</f>
        <v>6.708333333333333</v>
      </c>
      <c r="T71" s="93">
        <f t="shared" si="0"/>
        <v>14.758333333333333</v>
      </c>
      <c r="U71" s="93">
        <f t="shared" si="0"/>
        <v>22.80833333333333</v>
      </c>
    </row>
    <row r="72" spans="18:26" x14ac:dyDescent="0.2">
      <c r="R72" s="202" t="s">
        <v>274</v>
      </c>
      <c r="S72" s="93">
        <f t="shared" si="0"/>
        <v>0</v>
      </c>
      <c r="T72" s="93">
        <f t="shared" si="0"/>
        <v>0</v>
      </c>
      <c r="U72" s="93">
        <f t="shared" si="0"/>
        <v>0</v>
      </c>
    </row>
    <row r="73" spans="18:26" x14ac:dyDescent="0.2">
      <c r="R73" s="202" t="s">
        <v>275</v>
      </c>
      <c r="S73" s="93">
        <f t="shared" si="0"/>
        <v>0</v>
      </c>
      <c r="T73" s="93">
        <f t="shared" si="0"/>
        <v>0</v>
      </c>
      <c r="U73" s="93">
        <f t="shared" si="0"/>
        <v>0</v>
      </c>
    </row>
    <row r="74" spans="18:26" x14ac:dyDescent="0.2">
      <c r="R74" s="202" t="s">
        <v>401</v>
      </c>
      <c r="S74" s="93">
        <f t="shared" si="0"/>
        <v>0</v>
      </c>
      <c r="T74" s="93">
        <f t="shared" si="0"/>
        <v>0</v>
      </c>
      <c r="U74" s="93">
        <f t="shared" si="0"/>
        <v>0</v>
      </c>
    </row>
    <row r="75" spans="18:26" x14ac:dyDescent="0.2">
      <c r="R75" s="202" t="s">
        <v>277</v>
      </c>
      <c r="S75" s="93">
        <f t="shared" si="0"/>
        <v>0</v>
      </c>
      <c r="T75" s="93">
        <f t="shared" si="0"/>
        <v>0</v>
      </c>
      <c r="U75" s="93">
        <f t="shared" si="0"/>
        <v>0</v>
      </c>
    </row>
    <row r="76" spans="18:26" x14ac:dyDescent="0.2">
      <c r="R76" s="242" t="s">
        <v>278</v>
      </c>
      <c r="S76" s="93">
        <f t="shared" si="0"/>
        <v>0</v>
      </c>
      <c r="T76" s="93">
        <f t="shared" si="0"/>
        <v>0</v>
      </c>
      <c r="U76" s="93">
        <f t="shared" si="0"/>
        <v>0</v>
      </c>
    </row>
  </sheetData>
  <sheetProtection algorithmName="SHA-512" hashValue="usPdaBJeva1Ql5l8Q3+bEu7XwOiocSQKyb7GieRFEcWsTZ4U2N4tc1hGLXVwe2tQVHxbBHmiDU39oS+jntmA1Q==" saltValue="I3KBkjGCHF37d+vIkxBtBA==" spinCount="100000" sheet="1" objects="1" scenarios="1" selectLockedCells="1"/>
  <customSheetViews>
    <customSheetView guid="{3AB00655-FA95-794F-AE6B-0DE661FEB534}" topLeftCell="Q3">
      <selection activeCell="AC22" sqref="AB19:AC22"/>
      <pageMargins left="0" right="0" top="0" bottom="0" header="0" footer="0"/>
      <pageSetup orientation="portrait" horizontalDpi="4294967292" verticalDpi="4294967292"/>
    </customSheetView>
    <customSheetView guid="{638DA5E6-5C83-F34B-A013-9937D26CA5CB}" topLeftCell="G1">
      <selection activeCell="R3" sqref="R3"/>
    </customSheetView>
  </customSheetViews>
  <mergeCells count="1">
    <mergeCell ref="A3:D3"/>
  </mergeCells>
  <pageMargins left="0.75" right="0.75" top="1" bottom="1" header="0.5" footer="0.5"/>
  <pageSetup orientation="portrait" horizontalDpi="4294967292" verticalDpi="4294967292"/>
  <ignoredErrors>
    <ignoredError sqref="T64"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249977111117893"/>
  </sheetPr>
  <dimension ref="A1:D125"/>
  <sheetViews>
    <sheetView showGridLines="0" workbookViewId="0">
      <selection activeCell="A44" sqref="A44"/>
    </sheetView>
  </sheetViews>
  <sheetFormatPr baseColWidth="10" defaultColWidth="0" defaultRowHeight="20" zeroHeight="1" x14ac:dyDescent="0.2"/>
  <cols>
    <col min="1" max="1" width="145.83203125" style="219" customWidth="1"/>
    <col min="2" max="2" width="2.33203125" style="219" customWidth="1"/>
    <col min="3" max="3" width="26.33203125" style="220" hidden="1" customWidth="1"/>
    <col min="4" max="4" width="47" style="220" hidden="1" customWidth="1"/>
    <col min="5" max="16384" width="11.1640625" style="219" hidden="1"/>
  </cols>
  <sheetData>
    <row r="1" spans="1:1" ht="39" x14ac:dyDescent="0.4">
      <c r="A1" s="237" t="s">
        <v>44</v>
      </c>
    </row>
    <row r="2" spans="1:1" x14ac:dyDescent="0.2">
      <c r="A2" s="236"/>
    </row>
    <row r="3" spans="1:1" ht="24" x14ac:dyDescent="0.2">
      <c r="A3" s="229" t="s">
        <v>45</v>
      </c>
    </row>
    <row r="4" spans="1:1" ht="10" customHeight="1" x14ac:dyDescent="0.2">
      <c r="A4" s="228"/>
    </row>
    <row r="5" spans="1:1" ht="63" x14ac:dyDescent="0.2">
      <c r="A5" s="228" t="s">
        <v>46</v>
      </c>
    </row>
    <row r="6" spans="1:1" ht="10" customHeight="1" x14ac:dyDescent="0.2">
      <c r="A6" s="228"/>
    </row>
    <row r="7" spans="1:1" ht="42" x14ac:dyDescent="0.2">
      <c r="A7" s="232" t="s">
        <v>47</v>
      </c>
    </row>
    <row r="8" spans="1:1" ht="10" customHeight="1" x14ac:dyDescent="0.2">
      <c r="A8" s="226"/>
    </row>
    <row r="9" spans="1:1" ht="21" x14ac:dyDescent="0.2">
      <c r="A9" s="232" t="s">
        <v>48</v>
      </c>
    </row>
    <row r="10" spans="1:1" ht="10" customHeight="1" x14ac:dyDescent="0.2">
      <c r="A10" s="226"/>
    </row>
    <row r="11" spans="1:1" ht="45.75" customHeight="1" x14ac:dyDescent="0.2">
      <c r="A11" s="226" t="s">
        <v>49</v>
      </c>
    </row>
    <row r="12" spans="1:1" ht="10" customHeight="1" x14ac:dyDescent="0.2">
      <c r="A12" s="226"/>
    </row>
    <row r="13" spans="1:1" ht="42" x14ac:dyDescent="0.2">
      <c r="A13" s="232" t="s">
        <v>50</v>
      </c>
    </row>
    <row r="14" spans="1:1" ht="10" customHeight="1" x14ac:dyDescent="0.2">
      <c r="A14" s="226"/>
    </row>
    <row r="15" spans="1:1" ht="42" x14ac:dyDescent="0.2">
      <c r="A15" s="232" t="s">
        <v>51</v>
      </c>
    </row>
    <row r="16" spans="1:1" ht="10" customHeight="1" x14ac:dyDescent="0.2">
      <c r="A16" s="226"/>
    </row>
    <row r="17" spans="1:1" ht="21" x14ac:dyDescent="0.2">
      <c r="A17" s="232" t="s">
        <v>52</v>
      </c>
    </row>
    <row r="18" spans="1:1" ht="10" customHeight="1" x14ac:dyDescent="0.2">
      <c r="A18" s="226"/>
    </row>
    <row r="19" spans="1:1" ht="42" x14ac:dyDescent="0.2">
      <c r="A19" s="232" t="s">
        <v>53</v>
      </c>
    </row>
    <row r="20" spans="1:1" ht="10" customHeight="1" x14ac:dyDescent="0.2">
      <c r="A20" s="226"/>
    </row>
    <row r="21" spans="1:1" ht="42" x14ac:dyDescent="0.2">
      <c r="A21" s="232" t="s">
        <v>54</v>
      </c>
    </row>
    <row r="22" spans="1:1" ht="10" customHeight="1" x14ac:dyDescent="0.2">
      <c r="A22" s="226"/>
    </row>
    <row r="23" spans="1:1" ht="21" x14ac:dyDescent="0.2">
      <c r="A23" s="232" t="s">
        <v>55</v>
      </c>
    </row>
    <row r="24" spans="1:1" ht="10" customHeight="1" x14ac:dyDescent="0.2">
      <c r="A24" s="228"/>
    </row>
    <row r="25" spans="1:1" ht="63" x14ac:dyDescent="0.2">
      <c r="A25" s="228" t="s">
        <v>56</v>
      </c>
    </row>
    <row r="26" spans="1:1" x14ac:dyDescent="0.2">
      <c r="A26" s="230"/>
    </row>
    <row r="27" spans="1:1" ht="24" x14ac:dyDescent="0.2">
      <c r="A27" s="229" t="s">
        <v>57</v>
      </c>
    </row>
    <row r="28" spans="1:1" ht="8" customHeight="1" x14ac:dyDescent="0.2">
      <c r="A28" s="230"/>
    </row>
    <row r="29" spans="1:1" ht="21" x14ac:dyDescent="0.2">
      <c r="A29" s="226" t="s">
        <v>58</v>
      </c>
    </row>
    <row r="30" spans="1:1" ht="10" customHeight="1" x14ac:dyDescent="0.2">
      <c r="A30" s="228"/>
    </row>
    <row r="31" spans="1:1" ht="42" x14ac:dyDescent="0.2">
      <c r="A31" s="226" t="s">
        <v>59</v>
      </c>
    </row>
    <row r="32" spans="1:1" ht="10" customHeight="1" x14ac:dyDescent="0.2">
      <c r="A32" s="226"/>
    </row>
    <row r="33" spans="1:1" ht="42" x14ac:dyDescent="0.2">
      <c r="A33" s="226" t="s">
        <v>60</v>
      </c>
    </row>
    <row r="34" spans="1:1" ht="10" customHeight="1" x14ac:dyDescent="0.2">
      <c r="A34" s="226"/>
    </row>
    <row r="35" spans="1:1" ht="21" x14ac:dyDescent="0.2">
      <c r="A35" s="226" t="s">
        <v>61</v>
      </c>
    </row>
    <row r="36" spans="1:1" ht="10" customHeight="1" x14ac:dyDescent="0.2">
      <c r="A36" s="226"/>
    </row>
    <row r="37" spans="1:1" ht="63" x14ac:dyDescent="0.2">
      <c r="A37" s="226" t="s">
        <v>62</v>
      </c>
    </row>
    <row r="38" spans="1:1" ht="10" customHeight="1" x14ac:dyDescent="0.2">
      <c r="A38" s="226"/>
    </row>
    <row r="39" spans="1:1" ht="42" x14ac:dyDescent="0.2">
      <c r="A39" s="226" t="s">
        <v>63</v>
      </c>
    </row>
    <row r="40" spans="1:1" x14ac:dyDescent="0.2">
      <c r="A40" s="230"/>
    </row>
    <row r="41" spans="1:1" ht="24" x14ac:dyDescent="0.2">
      <c r="A41" s="229" t="s">
        <v>64</v>
      </c>
    </row>
    <row r="42" spans="1:1" ht="8" customHeight="1" x14ac:dyDescent="0.2">
      <c r="A42" s="230"/>
    </row>
    <row r="43" spans="1:1" ht="42" x14ac:dyDescent="0.2">
      <c r="A43" s="226" t="s">
        <v>65</v>
      </c>
    </row>
    <row r="44" spans="1:1" ht="10" customHeight="1" x14ac:dyDescent="0.2">
      <c r="A44" s="228"/>
    </row>
    <row r="45" spans="1:1" ht="21" x14ac:dyDescent="0.2">
      <c r="A45" s="226" t="s">
        <v>66</v>
      </c>
    </row>
    <row r="46" spans="1:1" ht="10" customHeight="1" x14ac:dyDescent="0.2">
      <c r="A46" s="228"/>
    </row>
    <row r="47" spans="1:1" ht="25" x14ac:dyDescent="0.2">
      <c r="A47" s="235" t="s">
        <v>67</v>
      </c>
    </row>
    <row r="48" spans="1:1" ht="10" customHeight="1" x14ac:dyDescent="0.2">
      <c r="A48" s="227"/>
    </row>
    <row r="49" spans="1:1" ht="42" x14ac:dyDescent="0.2">
      <c r="A49" s="226" t="s">
        <v>68</v>
      </c>
    </row>
    <row r="50" spans="1:1" ht="10" customHeight="1" x14ac:dyDescent="0.2">
      <c r="A50" s="228"/>
    </row>
    <row r="51" spans="1:1" ht="42" x14ac:dyDescent="0.2">
      <c r="A51" s="234" t="s">
        <v>69</v>
      </c>
    </row>
    <row r="52" spans="1:1" ht="10" customHeight="1" x14ac:dyDescent="0.2">
      <c r="A52" s="228"/>
    </row>
    <row r="53" spans="1:1" ht="63" x14ac:dyDescent="0.2">
      <c r="A53" s="234" t="s">
        <v>70</v>
      </c>
    </row>
    <row r="54" spans="1:1" ht="8" customHeight="1" x14ac:dyDescent="0.2">
      <c r="A54" s="228"/>
    </row>
    <row r="55" spans="1:1" ht="21" x14ac:dyDescent="0.2">
      <c r="A55" s="226" t="s">
        <v>71</v>
      </c>
    </row>
    <row r="56" spans="1:1" ht="8" customHeight="1" x14ac:dyDescent="0.2">
      <c r="A56" s="228"/>
    </row>
    <row r="57" spans="1:1" ht="63" x14ac:dyDescent="0.2">
      <c r="A57" s="234" t="s">
        <v>72</v>
      </c>
    </row>
    <row r="58" spans="1:1" ht="8" customHeight="1" x14ac:dyDescent="0.2">
      <c r="A58" s="228"/>
    </row>
    <row r="59" spans="1:1" ht="63" x14ac:dyDescent="0.2">
      <c r="A59" s="226" t="s">
        <v>73</v>
      </c>
    </row>
    <row r="60" spans="1:1" ht="10" customHeight="1" x14ac:dyDescent="0.2">
      <c r="A60" s="228"/>
    </row>
    <row r="61" spans="1:1" ht="21" x14ac:dyDescent="0.2">
      <c r="A61" s="226" t="s">
        <v>74</v>
      </c>
    </row>
    <row r="62" spans="1:1" ht="10" customHeight="1" x14ac:dyDescent="0.2">
      <c r="A62" s="228"/>
    </row>
    <row r="63" spans="1:1" ht="21" x14ac:dyDescent="0.2">
      <c r="A63" s="227" t="s">
        <v>75</v>
      </c>
    </row>
    <row r="64" spans="1:1" ht="10" customHeight="1" x14ac:dyDescent="0.2">
      <c r="A64" s="233"/>
    </row>
    <row r="65" spans="1:1" ht="42" x14ac:dyDescent="0.2">
      <c r="A65" s="227" t="s">
        <v>76</v>
      </c>
    </row>
    <row r="66" spans="1:1" ht="10" customHeight="1" x14ac:dyDescent="0.2">
      <c r="A66" s="228"/>
    </row>
    <row r="67" spans="1:1" ht="63" x14ac:dyDescent="0.2">
      <c r="A67" s="227" t="s">
        <v>77</v>
      </c>
    </row>
    <row r="68" spans="1:1" ht="10" customHeight="1" x14ac:dyDescent="0.2">
      <c r="A68" s="228"/>
    </row>
    <row r="69" spans="1:1" x14ac:dyDescent="0.2">
      <c r="A69" s="228"/>
    </row>
    <row r="70" spans="1:1" ht="24" x14ac:dyDescent="0.2">
      <c r="A70" s="229" t="s">
        <v>78</v>
      </c>
    </row>
    <row r="71" spans="1:1" ht="10" customHeight="1" x14ac:dyDescent="0.2">
      <c r="A71" s="228"/>
    </row>
    <row r="72" spans="1:1" ht="21" x14ac:dyDescent="0.2">
      <c r="A72" s="226" t="s">
        <v>79</v>
      </c>
    </row>
    <row r="73" spans="1:1" ht="10" customHeight="1" x14ac:dyDescent="0.2">
      <c r="A73" s="228"/>
    </row>
    <row r="74" spans="1:1" ht="63" x14ac:dyDescent="0.2">
      <c r="A74" s="232" t="s">
        <v>80</v>
      </c>
    </row>
    <row r="75" spans="1:1" ht="10" customHeight="1" x14ac:dyDescent="0.2">
      <c r="A75" s="228"/>
    </row>
    <row r="76" spans="1:1" ht="64" x14ac:dyDescent="0.2">
      <c r="A76" s="232" t="s">
        <v>81</v>
      </c>
    </row>
    <row r="77" spans="1:1" ht="10" customHeight="1" x14ac:dyDescent="0.2">
      <c r="A77" s="232"/>
    </row>
    <row r="78" spans="1:1" ht="21" x14ac:dyDescent="0.2">
      <c r="A78" s="231" t="s">
        <v>82</v>
      </c>
    </row>
    <row r="79" spans="1:1" ht="10" customHeight="1" x14ac:dyDescent="0.2">
      <c r="A79" s="232"/>
    </row>
    <row r="80" spans="1:1" ht="21" x14ac:dyDescent="0.2">
      <c r="A80" s="231" t="s">
        <v>83</v>
      </c>
    </row>
    <row r="81" spans="1:1" x14ac:dyDescent="0.2">
      <c r="A81" s="230"/>
    </row>
    <row r="82" spans="1:1" ht="24" x14ac:dyDescent="0.2">
      <c r="A82" s="229" t="s">
        <v>84</v>
      </c>
    </row>
    <row r="83" spans="1:1" ht="10" customHeight="1" x14ac:dyDescent="0.2">
      <c r="A83" s="228"/>
    </row>
    <row r="84" spans="1:1" ht="42" x14ac:dyDescent="0.2">
      <c r="A84" s="226" t="s">
        <v>85</v>
      </c>
    </row>
    <row r="85" spans="1:1" ht="10" customHeight="1" x14ac:dyDescent="0.2">
      <c r="A85" s="226"/>
    </row>
    <row r="86" spans="1:1" ht="42" x14ac:dyDescent="0.2">
      <c r="A86" s="226" t="s">
        <v>86</v>
      </c>
    </row>
    <row r="87" spans="1:1" ht="10" customHeight="1" x14ac:dyDescent="0.2">
      <c r="A87" s="226"/>
    </row>
    <row r="88" spans="1:1" ht="39" customHeight="1" x14ac:dyDescent="0.2">
      <c r="A88" s="227" t="s">
        <v>87</v>
      </c>
    </row>
    <row r="89" spans="1:1" ht="10" customHeight="1" x14ac:dyDescent="0.2">
      <c r="A89" s="226"/>
    </row>
    <row r="90" spans="1:1" ht="42" x14ac:dyDescent="0.2">
      <c r="A90" s="224" t="s">
        <v>88</v>
      </c>
    </row>
    <row r="91" spans="1:1" ht="10" customHeight="1" x14ac:dyDescent="0.2">
      <c r="A91" s="224"/>
    </row>
    <row r="92" spans="1:1" ht="42" x14ac:dyDescent="0.2">
      <c r="A92" s="224" t="s">
        <v>89</v>
      </c>
    </row>
    <row r="93" spans="1:1" ht="10" customHeight="1" x14ac:dyDescent="0.2">
      <c r="A93" s="224"/>
    </row>
    <row r="94" spans="1:1" ht="21" x14ac:dyDescent="0.2">
      <c r="A94" s="224" t="s">
        <v>90</v>
      </c>
    </row>
    <row r="95" spans="1:1" ht="10" customHeight="1" x14ac:dyDescent="0.2">
      <c r="A95" s="224"/>
    </row>
    <row r="96" spans="1:1" ht="21" x14ac:dyDescent="0.2">
      <c r="A96" s="224" t="s">
        <v>91</v>
      </c>
    </row>
    <row r="97" spans="1:1" ht="10" customHeight="1" x14ac:dyDescent="0.2">
      <c r="A97" s="224"/>
    </row>
    <row r="98" spans="1:1" ht="21" x14ac:dyDescent="0.2">
      <c r="A98" s="223" t="s">
        <v>92</v>
      </c>
    </row>
    <row r="99" spans="1:1" ht="10" customHeight="1" x14ac:dyDescent="0.2">
      <c r="A99" s="224"/>
    </row>
    <row r="100" spans="1:1" ht="21" x14ac:dyDescent="0.2">
      <c r="A100" s="223" t="s">
        <v>93</v>
      </c>
    </row>
    <row r="101" spans="1:1" x14ac:dyDescent="0.2">
      <c r="A101" s="222"/>
    </row>
    <row r="102" spans="1:1" ht="24" x14ac:dyDescent="0.25">
      <c r="A102" s="225" t="s">
        <v>94</v>
      </c>
    </row>
    <row r="103" spans="1:1" ht="10" customHeight="1" x14ac:dyDescent="0.2">
      <c r="A103" s="222"/>
    </row>
    <row r="104" spans="1:1" ht="21" x14ac:dyDescent="0.2">
      <c r="A104" s="224" t="s">
        <v>95</v>
      </c>
    </row>
    <row r="105" spans="1:1" ht="10" customHeight="1" x14ac:dyDescent="0.2">
      <c r="A105" s="224"/>
    </row>
    <row r="106" spans="1:1" ht="21" x14ac:dyDescent="0.2">
      <c r="A106" s="224" t="s">
        <v>96</v>
      </c>
    </row>
    <row r="107" spans="1:1" ht="10" customHeight="1" x14ac:dyDescent="0.2">
      <c r="A107" s="224"/>
    </row>
    <row r="108" spans="1:1" ht="21" x14ac:dyDescent="0.2">
      <c r="A108" s="224" t="s">
        <v>97</v>
      </c>
    </row>
    <row r="109" spans="1:1" ht="10" customHeight="1" x14ac:dyDescent="0.2">
      <c r="A109" s="224"/>
    </row>
    <row r="110" spans="1:1" ht="42" x14ac:dyDescent="0.2">
      <c r="A110" s="224" t="s">
        <v>98</v>
      </c>
    </row>
    <row r="111" spans="1:1" ht="10" customHeight="1" x14ac:dyDescent="0.2">
      <c r="A111" s="222"/>
    </row>
    <row r="112" spans="1:1" ht="21" x14ac:dyDescent="0.2">
      <c r="A112" s="223" t="s">
        <v>99</v>
      </c>
    </row>
    <row r="113" spans="1:1" x14ac:dyDescent="0.2">
      <c r="A113" s="222"/>
    </row>
    <row r="114" spans="1:1" hidden="1" x14ac:dyDescent="0.2">
      <c r="A114" s="221"/>
    </row>
    <row r="115" spans="1:1" hidden="1" x14ac:dyDescent="0.2">
      <c r="A115" s="221"/>
    </row>
    <row r="116" spans="1:1" hidden="1" x14ac:dyDescent="0.2">
      <c r="A116" s="221"/>
    </row>
    <row r="117" spans="1:1" hidden="1" x14ac:dyDescent="0.2">
      <c r="A117" s="221"/>
    </row>
    <row r="118" spans="1:1" hidden="1" x14ac:dyDescent="0.2">
      <c r="A118" s="221"/>
    </row>
    <row r="119" spans="1:1" hidden="1" x14ac:dyDescent="0.2">
      <c r="A119" s="221"/>
    </row>
    <row r="120" spans="1:1" hidden="1" x14ac:dyDescent="0.2">
      <c r="A120" s="221"/>
    </row>
    <row r="121" spans="1:1" hidden="1" x14ac:dyDescent="0.2">
      <c r="A121" s="221"/>
    </row>
    <row r="122" spans="1:1" hidden="1" x14ac:dyDescent="0.2">
      <c r="A122" s="221"/>
    </row>
    <row r="123" spans="1:1" hidden="1" x14ac:dyDescent="0.2">
      <c r="A123" s="221"/>
    </row>
    <row r="124" spans="1:1" hidden="1" x14ac:dyDescent="0.2">
      <c r="A124" s="221"/>
    </row>
    <row r="125" spans="1:1" hidden="1" x14ac:dyDescent="0.2">
      <c r="A125" s="221"/>
    </row>
  </sheetData>
  <sheetProtection algorithmName="SHA-512" hashValue="lQ/4iiUmrjs0YgLiXGHKTOZPqELd7lUhywQp1sXIvayk+wrOZYddv/6SzdR9pE3+/NWK+a0iY1OaYiNx86AKeg==" saltValue="ZyCsjaO1AlJc02A2n+XiDg==" spinCount="100000" sheet="1" objects="1" scenarios="1" selectLockedCells="1" selectUnlockedCells="1"/>
  <printOptions horizontalCentered="1" verticalCentered="1"/>
  <pageMargins left="0.75000000000000011" right="0.75000000000000011" top="0.27969348659003829" bottom="0.29717432950191569" header="0" footer="0"/>
  <pageSetup scale="73" orientation="portrait"/>
  <rowBreaks count="1" manualBreakCount="1">
    <brk id="24" max="16383" man="1"/>
  </rowBreaks>
  <colBreaks count="1" manualBreakCount="1">
    <brk id="1" max="1048575" man="1"/>
  </col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A1:AF83"/>
  <sheetViews>
    <sheetView showGridLines="0" workbookViewId="0">
      <selection activeCell="A2" sqref="A2"/>
    </sheetView>
  </sheetViews>
  <sheetFormatPr baseColWidth="10" defaultColWidth="0" defaultRowHeight="16" zeroHeight="1" x14ac:dyDescent="0.2"/>
  <cols>
    <col min="1" max="1" width="14.1640625" customWidth="1"/>
    <col min="2" max="2" width="4.83203125" customWidth="1"/>
    <col min="3" max="3" width="7.83203125" customWidth="1"/>
    <col min="4" max="4" width="1" customWidth="1"/>
    <col min="5" max="6" width="7.83203125" customWidth="1"/>
    <col min="7" max="7" width="1" customWidth="1"/>
    <col min="8" max="9" width="7.83203125" customWidth="1"/>
    <col min="10" max="10" width="1" customWidth="1"/>
    <col min="11" max="11" width="7.83203125" customWidth="1"/>
    <col min="12" max="12" width="1" customWidth="1"/>
    <col min="13" max="13" width="10.83203125" customWidth="1"/>
    <col min="14" max="15" width="2.1640625" customWidth="1"/>
    <col min="16" max="16" width="12.33203125" bestFit="1" customWidth="1"/>
    <col min="17" max="17" width="7.6640625" customWidth="1"/>
    <col min="18" max="18" width="8" customWidth="1"/>
    <col min="19" max="19" width="6.33203125" bestFit="1" customWidth="1"/>
    <col min="20" max="20" width="8" customWidth="1"/>
    <col min="21" max="21" width="6.33203125" bestFit="1" customWidth="1"/>
    <col min="22" max="22" width="8" customWidth="1"/>
    <col min="23" max="23" width="6.33203125" bestFit="1" customWidth="1"/>
    <col min="24" max="24" width="8" customWidth="1"/>
    <col min="25" max="25" width="6.33203125" bestFit="1" customWidth="1"/>
    <col min="26" max="26" width="8" customWidth="1"/>
    <col min="27" max="27" width="6.33203125" bestFit="1" customWidth="1"/>
    <col min="28" max="28" width="8" customWidth="1"/>
    <col min="29" max="30" width="2.83203125" customWidth="1"/>
    <col min="31" max="32" width="10.83203125" hidden="1" customWidth="1"/>
    <col min="33" max="16384" width="2.83203125" hidden="1"/>
  </cols>
  <sheetData>
    <row r="1" spans="1:29" ht="17" thickBot="1" x14ac:dyDescent="0.25">
      <c r="A1" t="s">
        <v>100</v>
      </c>
    </row>
    <row r="2" spans="1:29" ht="63" thickBot="1" x14ac:dyDescent="0.75">
      <c r="A2" s="389" t="s">
        <v>101</v>
      </c>
    </row>
    <row r="3" spans="1:29" ht="16" customHeight="1" thickBot="1" x14ac:dyDescent="0.25"/>
    <row r="4" spans="1:29" ht="16" customHeight="1" x14ac:dyDescent="0.2">
      <c r="A4" s="444" t="str">
        <f>IF($A$2="EU",'Master EU'!B2,IF($A$2="US",'Master US'!B2,""))</f>
        <v>Master 5000 EU</v>
      </c>
      <c r="B4" s="454"/>
      <c r="C4" s="454"/>
      <c r="D4" s="454"/>
      <c r="E4" s="454"/>
      <c r="F4" s="454"/>
      <c r="G4" s="454"/>
      <c r="H4" s="455"/>
      <c r="I4" s="444" t="str">
        <f>IF($A$2="EU",'Master EU'!J11,IF($A$2="US",'Master US'!J11,""))</f>
        <v>Y E S !   O K !</v>
      </c>
      <c r="J4" s="454"/>
      <c r="K4" s="454"/>
      <c r="L4" s="454"/>
      <c r="M4" s="455"/>
      <c r="N4" s="342"/>
      <c r="O4" s="342"/>
      <c r="P4" s="444" t="str">
        <f>A2</f>
        <v>EU</v>
      </c>
      <c r="Q4" s="446" t="s">
        <v>102</v>
      </c>
      <c r="R4" s="446"/>
      <c r="S4" s="446"/>
      <c r="T4" s="446"/>
      <c r="U4" s="446"/>
      <c r="V4" s="446"/>
      <c r="W4" s="446"/>
      <c r="X4" s="446"/>
      <c r="Y4" s="446"/>
      <c r="Z4" s="446"/>
      <c r="AA4" s="446"/>
      <c r="AB4" s="446"/>
      <c r="AC4" s="447"/>
    </row>
    <row r="5" spans="1:29" ht="16" customHeight="1" thickBot="1" x14ac:dyDescent="0.25">
      <c r="A5" s="445"/>
      <c r="B5" s="456"/>
      <c r="C5" s="456"/>
      <c r="D5" s="456"/>
      <c r="E5" s="456"/>
      <c r="F5" s="456"/>
      <c r="G5" s="456"/>
      <c r="H5" s="457"/>
      <c r="I5" s="445"/>
      <c r="J5" s="456"/>
      <c r="K5" s="456"/>
      <c r="L5" s="456"/>
      <c r="M5" s="457"/>
      <c r="N5" s="342"/>
      <c r="O5" s="342"/>
      <c r="P5" s="445"/>
      <c r="Q5" s="448"/>
      <c r="R5" s="448"/>
      <c r="S5" s="448"/>
      <c r="T5" s="448"/>
      <c r="U5" s="448"/>
      <c r="V5" s="448"/>
      <c r="W5" s="448"/>
      <c r="X5" s="448"/>
      <c r="Y5" s="448"/>
      <c r="Z5" s="448"/>
      <c r="AA5" s="448"/>
      <c r="AB5" s="448"/>
      <c r="AC5" s="449"/>
    </row>
    <row r="6" spans="1:29" ht="16" customHeight="1" thickBot="1" x14ac:dyDescent="0.25"/>
    <row r="7" spans="1:29" ht="16" customHeight="1" x14ac:dyDescent="0.2">
      <c r="A7" s="343" t="str">
        <f>IF($A$2="EU",'Master EU'!B4,IF($A$2="US",'Master US'!B4,""))</f>
        <v>Total</v>
      </c>
      <c r="B7" s="469" t="str">
        <f>IF($A$2="EU",'Master EU'!C4,IF($A$2="US",'Master US'!C4,""))</f>
        <v>MASTER</v>
      </c>
      <c r="C7" s="344">
        <f>IF($A$2="EU",'Master EU'!D4,IF($A$2="US",'Master US'!D4,""))</f>
        <v>230</v>
      </c>
      <c r="D7" s="345"/>
      <c r="E7" s="346" t="str">
        <f>IF($A$2="EU",'Master EU'!F4,IF($A$2="US",'Master US'!F4,""))</f>
        <v>V</v>
      </c>
      <c r="F7" s="344">
        <f>IF($A$2="EU",'Master EU'!G4,IF($A$2="US",'Master US'!G4,""))</f>
        <v>230</v>
      </c>
      <c r="G7" s="345"/>
      <c r="H7" s="346" t="str">
        <f>IF($A$2="EU",'Master EU'!I4,IF($A$2="US",'Master US'!I4,""))</f>
        <v>V</v>
      </c>
      <c r="I7" s="344">
        <f>IF($A$2="EU",'Master EU'!J4,IF($A$2="US",'Master US'!J4,""))</f>
        <v>230</v>
      </c>
      <c r="J7" s="345"/>
      <c r="K7" s="347" t="str">
        <f>IF($A$2="EU",'Master EU'!L4,IF($A$2="US",'Master US'!L4,""))</f>
        <v>V</v>
      </c>
      <c r="M7" s="348" t="str">
        <f>IF($A$2="EU",'Master EU'!N4,IF($A$2="US",'Master US'!N4,""))</f>
        <v>Line Voltage</v>
      </c>
      <c r="P7" s="349" t="str">
        <f>IF($A$2="EU",'Master EU'!B32,IF($A$2="US",'Master US'!B32,""))</f>
        <v>Inlet</v>
      </c>
      <c r="Q7" s="483">
        <f>IF($A$2="EU",'Master EU'!C32,IF($A$2="US",'Master US'!C32,""))</f>
        <v>1</v>
      </c>
      <c r="R7" s="480" t="str">
        <f>IF($A$2="EU",'Master EU'!D32,IF($A$2="US",'Master US'!D32,""))</f>
        <v>L1</v>
      </c>
      <c r="S7" s="480"/>
      <c r="T7" s="480" t="str">
        <f>IF($A$2="EU",'Master EU'!F32,IF($A$2="US",'Master US'!F32,""))</f>
        <v>L2</v>
      </c>
      <c r="U7" s="480"/>
      <c r="V7" s="480" t="str">
        <f>IF($A$2="EU",'Master EU'!H32,IF($A$2="US",'Master US'!H32,""))</f>
        <v>L3</v>
      </c>
      <c r="W7" s="480"/>
      <c r="X7" s="481" t="str">
        <f>IF($A$2="EU",'Master EU'!J32,IF($A$2="US",'Master US'!J32,""))</f>
        <v>Amount</v>
      </c>
      <c r="Y7" s="482"/>
      <c r="Z7" s="481" t="str">
        <f>IF($A$2="EU","",IF($A$2="US",'Master US'!L32,""))</f>
        <v/>
      </c>
      <c r="AA7" s="482"/>
      <c r="AB7" s="481" t="str">
        <f>IF($A$2="EU",'Master EU'!N32,IF($A$2="US",'Master US'!N32,""))</f>
        <v>O K</v>
      </c>
      <c r="AC7" s="482"/>
    </row>
    <row r="8" spans="1:29" ht="16" customHeight="1" x14ac:dyDescent="0.2">
      <c r="A8" s="350" t="str">
        <f>IF($A$2="EU",'Master EU'!B5,IF($A$2="US",'Master US'!B5,""))</f>
        <v>Inlet</v>
      </c>
      <c r="B8" s="470"/>
      <c r="C8" s="472" t="str">
        <f>IF($A$2="EU",'Master EU'!D5,IF($A$2="US",'Master US'!D5,""))</f>
        <v>L 1</v>
      </c>
      <c r="D8" s="473"/>
      <c r="E8" s="474"/>
      <c r="F8" s="472" t="str">
        <f>IF($A$2="EU",'Master EU'!G5,IF($A$2="US",'Master US'!G5,""))</f>
        <v>L 2</v>
      </c>
      <c r="G8" s="473"/>
      <c r="H8" s="474"/>
      <c r="I8" s="472" t="str">
        <f>IF($A$2="EU",'Master EU'!J5,IF($A$2="US",'Master US'!J5,""))</f>
        <v>L 3</v>
      </c>
      <c r="J8" s="473"/>
      <c r="K8" s="475"/>
      <c r="M8" s="476">
        <f>IF($A$2="EU",'Master EU'!N5,IF($A$2="US",'Master US'!N5,""))</f>
        <v>230</v>
      </c>
      <c r="N8" s="351"/>
      <c r="O8" s="351"/>
      <c r="P8" s="349" t="str">
        <f>IF($A$2="EU",'Master EU'!B33,IF($A$2="US",'Master US'!B33,""))</f>
        <v>MLTC + 30%</v>
      </c>
      <c r="Q8" s="484"/>
      <c r="R8" s="352">
        <f>IF($A$2="EU",'Master EU'!D33,IF($A$2="US",'Master US'!D33,""))</f>
        <v>31.121999999999996</v>
      </c>
      <c r="S8" s="353" t="str">
        <f>IF($A$2="EU",'Master EU'!E33,IF($A$2="US",'Master US'!E33,""))</f>
        <v>A RMS</v>
      </c>
      <c r="T8" s="352">
        <f>IF($A$2="EU",'Master EU'!F33,IF($A$2="US",'Master US'!F33,""))</f>
        <v>31.121999999999996</v>
      </c>
      <c r="U8" s="353" t="str">
        <f>IF($A$2="EU",'Master EU'!G33,IF($A$2="US",'Master US'!G33,""))</f>
        <v>A RMS</v>
      </c>
      <c r="V8" s="352">
        <f>IF($A$2="EU",'Master EU'!H33,IF($A$2="US",'Master US'!H33,""))</f>
        <v>31.121999999999996</v>
      </c>
      <c r="W8" s="353" t="str">
        <f>IF($A$2="EU",'Master EU'!I33,IF($A$2="US",'Master US'!I33,""))</f>
        <v>A RMS</v>
      </c>
      <c r="X8" s="352" t="str">
        <f>IF($A$2="EU","",IF($A$2="US",'Master US'!J33,""))</f>
        <v/>
      </c>
      <c r="Y8" s="353" t="str">
        <f>IF($A$2="EU","",IF($A$2="US",'Master US'!K33,""))</f>
        <v/>
      </c>
      <c r="Z8" s="352" t="str">
        <f>IF($A$2="EU","",IF($A$2="US",'Master US'!L33,""))</f>
        <v/>
      </c>
      <c r="AA8" s="353" t="str">
        <f>IF($A$2="EU","",IF($A$2="US",'Master US'!M33,""))</f>
        <v/>
      </c>
      <c r="AB8" s="352" t="str">
        <f>IF($A$2="EU","",IF($A$2="US",'Master US'!N33,""))</f>
        <v/>
      </c>
      <c r="AC8" s="353" t="str">
        <f>IF($A$2="EU","",IF($A$2="US",'Master US'!O33,""))</f>
        <v/>
      </c>
    </row>
    <row r="9" spans="1:29" ht="16" customHeight="1" thickBot="1" x14ac:dyDescent="0.25">
      <c r="A9" s="350" t="str">
        <f>IF($A$2="EU",'Master EU'!B6,IF($A$2="US",'Master US'!B6,""))</f>
        <v>MLTC + 30%</v>
      </c>
      <c r="B9" s="470"/>
      <c r="C9" s="354">
        <f>IF($A$2="EU",'Master EU'!D6,IF($A$2="US",'Master US'!D6,""))</f>
        <v>198.04199999999997</v>
      </c>
      <c r="D9" s="355"/>
      <c r="E9" s="356" t="str">
        <f>IF($A$2="EU",'Master EU'!F6,IF($A$2="US",'Master US'!F6,""))</f>
        <v>A RMS</v>
      </c>
      <c r="F9" s="354">
        <f>IF($A$2="EU",'Master EU'!G6,IF($A$2="US",'Master US'!G6,""))</f>
        <v>185.56199999999998</v>
      </c>
      <c r="G9" s="355"/>
      <c r="H9" s="356" t="str">
        <f>IF($A$2="EU",'Master EU'!I6,IF($A$2="US",'Master US'!I6,""))</f>
        <v>A RMS</v>
      </c>
      <c r="I9" s="354">
        <f>IF($A$2="EU",'Master EU'!J6,IF($A$2="US",'Master US'!J6,""))</f>
        <v>185.56199999999998</v>
      </c>
      <c r="J9" s="355"/>
      <c r="K9" s="357" t="str">
        <f>IF($A$2="EU",'Master EU'!L6,IF($A$2="US",'Master US'!L6,""))</f>
        <v>A RMS</v>
      </c>
      <c r="M9" s="477"/>
      <c r="N9" s="351"/>
      <c r="O9" s="351"/>
      <c r="P9" s="349" t="str">
        <f>IF($A$2="EU",'Master EU'!B34,IF($A$2="US",'Master US'!B34,""))</f>
        <v>Burst</v>
      </c>
      <c r="Q9" s="358" t="str">
        <f>IF($A$2="EU","",IF($A$2="US",'Master US'!C34,""))</f>
        <v/>
      </c>
      <c r="R9" s="359">
        <f>IF($A$2="EU",'Master EU'!D34,IF($A$2="US",'Master US'!D34,""))</f>
        <v>37.299999999999997</v>
      </c>
      <c r="S9" s="360" t="str">
        <f>IF($A$2="EU",'Master EU'!E34,IF($A$2="US",'Master US'!E34,""))</f>
        <v>A RMS</v>
      </c>
      <c r="T9" s="359">
        <f>IF($A$2="EU",'Master EU'!F34,IF($A$2="US",'Master US'!F34,""))</f>
        <v>37.299999999999997</v>
      </c>
      <c r="U9" s="360" t="str">
        <f>IF($A$2="EU",'Master EU'!G34,IF($A$2="US",'Master US'!G34,""))</f>
        <v>A RMS</v>
      </c>
      <c r="V9" s="359">
        <f>IF($A$2="EU",'Master EU'!H34,IF($A$2="US",'Master US'!H34,""))</f>
        <v>37.299999999999997</v>
      </c>
      <c r="W9" s="360" t="str">
        <f>IF($A$2="EU",'Master EU'!I34,IF($A$2="US",'Master US'!I34,""))</f>
        <v>A RMS</v>
      </c>
      <c r="X9" s="359">
        <f>IF($A$2="EU",'Master EU'!J34,IF($A$2="US",'Master US'!J34,""))</f>
        <v>1</v>
      </c>
      <c r="Y9" s="360" t="str">
        <f>IF($A$2="EU","",IF($A$2="US",'Master US'!K34,""))</f>
        <v/>
      </c>
      <c r="Z9" s="359" t="str">
        <f>IF($A$2="EU","",IF($A$2="US",'Master US'!L34,""))</f>
        <v/>
      </c>
      <c r="AA9" s="360" t="str">
        <f>IF($A$2="EU","",IF($A$2="US",'Master US'!M34,""))</f>
        <v/>
      </c>
      <c r="AB9" s="359" t="str">
        <f>IF($A$2="EU","",IF($A$2="US",'Master US'!N34,""))</f>
        <v/>
      </c>
      <c r="AC9" s="360" t="str">
        <f>IF($A$2="EU","",IF($A$2="US",'Master US'!O34,""))</f>
        <v/>
      </c>
    </row>
    <row r="10" spans="1:29" ht="16" customHeight="1" x14ac:dyDescent="0.2">
      <c r="A10" s="350" t="str">
        <f>IF($A$2="EU",'Master EU'!B7,IF($A$2="US",'Master US'!B7,""))</f>
        <v xml:space="preserve">MLTC </v>
      </c>
      <c r="B10" s="470"/>
      <c r="C10" s="354">
        <f>IF($A$2="EU",'Master EU'!D7,IF($A$2="US",'Master US'!D7,""))</f>
        <v>152.33999999999997</v>
      </c>
      <c r="D10" s="355"/>
      <c r="E10" s="356" t="str">
        <f>IF($A$2="EU",'Master EU'!F7,IF($A$2="US",'Master US'!F7,""))</f>
        <v>A RMS</v>
      </c>
      <c r="F10" s="354">
        <f>IF($A$2="EU",'Master EU'!G7,IF($A$2="US",'Master US'!G7,""))</f>
        <v>142.73999999999998</v>
      </c>
      <c r="G10" s="355"/>
      <c r="H10" s="356" t="str">
        <f>IF($A$2="EU",'Master EU'!I7,IF($A$2="US",'Master US'!I7,""))</f>
        <v>A RMS</v>
      </c>
      <c r="I10" s="354">
        <f>IF($A$2="EU",'Master EU'!J7,IF($A$2="US",'Master US'!J7,""))</f>
        <v>142.73999999999998</v>
      </c>
      <c r="J10" s="355"/>
      <c r="K10" s="357" t="str">
        <f>IF($A$2="EU",'Master EU'!L7,IF($A$2="US",'Master US'!L7,""))</f>
        <v>A RMS</v>
      </c>
      <c r="P10" s="349" t="str">
        <f>IF($A$2="EU",'Master EU'!B35,IF($A$2="US",'Master US'!B35,""))</f>
        <v>Peak</v>
      </c>
      <c r="Q10" s="94" t="str">
        <f>IF($A$2="EU","",IF($A$2="US",'Master US'!C35,""))</f>
        <v/>
      </c>
      <c r="R10" s="361">
        <f>IF($A$2="EU",'Master EU'!D35,IF($A$2="US",'Master US'!D35,""))</f>
        <v>75</v>
      </c>
      <c r="S10" s="362" t="str">
        <f>IF($A$2="EU",'Master EU'!E35,IF($A$2="US",'Master US'!E35,""))</f>
        <v>A Pk</v>
      </c>
      <c r="T10" s="361">
        <f>IF($A$2="EU",'Master EU'!F35,IF($A$2="US",'Master US'!F35,""))</f>
        <v>75</v>
      </c>
      <c r="U10" s="362" t="str">
        <f>IF($A$2="EU",'Master EU'!G35,IF($A$2="US",'Master US'!G35,""))</f>
        <v>A Pk</v>
      </c>
      <c r="V10" s="361">
        <f>IF($A$2="EU",'Master EU'!H35,IF($A$2="US",'Master US'!H35,""))</f>
        <v>75</v>
      </c>
      <c r="W10" s="362" t="str">
        <f>IF($A$2="EU",'Master EU'!I35,IF($A$2="US",'Master US'!I35,""))</f>
        <v>A Pk</v>
      </c>
      <c r="X10" s="361" t="str">
        <f>IF($A$2="EU","",IF($A$2="US",'Master US'!J35,""))</f>
        <v/>
      </c>
      <c r="Y10" s="362" t="str">
        <f>IF($A$2="EU","",IF($A$2="US",'Master US'!K35,""))</f>
        <v/>
      </c>
      <c r="Z10" s="361" t="str">
        <f>IF($A$2="EU","",IF($A$2="US",'Master US'!L35,""))</f>
        <v/>
      </c>
      <c r="AA10" s="362" t="str">
        <f>IF($A$2="EU","",IF($A$2="US",'Master US'!M35,""))</f>
        <v/>
      </c>
      <c r="AB10" s="361" t="str">
        <f>IF($A$2="EU","",IF($A$2="US",'Master US'!N35,""))</f>
        <v/>
      </c>
      <c r="AC10" s="362" t="str">
        <f>IF($A$2="EU","",IF($A$2="US",'Master US'!O35,""))</f>
        <v/>
      </c>
    </row>
    <row r="11" spans="1:29" ht="16" customHeight="1" x14ac:dyDescent="0.2">
      <c r="A11" s="350" t="str">
        <f>IF($A$2="EU",'Master EU'!B8,IF($A$2="US",'Master US'!B8,""))</f>
        <v>Total Burst</v>
      </c>
      <c r="B11" s="470"/>
      <c r="C11" s="354">
        <f>IF($A$2="EU",'Master EU'!D8,IF($A$2="US",'Master US'!D8,""))</f>
        <v>255.70000000000002</v>
      </c>
      <c r="D11" s="355"/>
      <c r="E11" s="356" t="str">
        <f>IF($A$2="EU",'Master EU'!F8,IF($A$2="US",'Master US'!F8,""))</f>
        <v>A RMS</v>
      </c>
      <c r="F11" s="354">
        <f>IF($A$2="EU",'Master EU'!G8,IF($A$2="US",'Master US'!G8,""))</f>
        <v>242.5</v>
      </c>
      <c r="G11" s="355"/>
      <c r="H11" s="356" t="str">
        <f>IF($A$2="EU",'Master EU'!I8,IF($A$2="US",'Master US'!I8,""))</f>
        <v>A RMS</v>
      </c>
      <c r="I11" s="354">
        <f>IF($A$2="EU",'Master EU'!J8,IF($A$2="US",'Master US'!J8,""))</f>
        <v>242.5</v>
      </c>
      <c r="J11" s="355"/>
      <c r="K11" s="357" t="str">
        <f>IF($A$2="EU",'Master EU'!L8,IF($A$2="US",'Master US'!L8,""))</f>
        <v>A RMS</v>
      </c>
      <c r="P11" s="358"/>
      <c r="Q11" s="358"/>
      <c r="R11" s="358"/>
      <c r="S11" s="358"/>
      <c r="T11" s="358"/>
      <c r="U11" s="358"/>
      <c r="V11" s="358"/>
      <c r="W11" s="358"/>
      <c r="X11" s="358"/>
      <c r="Y11" s="358"/>
      <c r="Z11" s="358"/>
      <c r="AA11" s="358"/>
      <c r="AB11" s="358"/>
      <c r="AC11" s="358"/>
    </row>
    <row r="12" spans="1:29" ht="16" customHeight="1" thickBot="1" x14ac:dyDescent="0.25">
      <c r="A12" s="363" t="str">
        <f>IF($A$2="EU",'Master EU'!B9,IF($A$2="US",'Master US'!B9,""))</f>
        <v>Total Peak</v>
      </c>
      <c r="B12" s="471"/>
      <c r="C12" s="364">
        <f>IF($A$2="EU",'Master EU'!D9,IF($A$2="US",'Master US'!D9,""))</f>
        <v>564.99999999999989</v>
      </c>
      <c r="D12" s="365"/>
      <c r="E12" s="366" t="str">
        <f>IF($A$2="EU",'Master EU'!F9,IF($A$2="US",'Master US'!F9,""))</f>
        <v>A Pk</v>
      </c>
      <c r="F12" s="364">
        <f>IF($A$2="EU",'Master EU'!G9,IF($A$2="US",'Master US'!G9,""))</f>
        <v>530.19999999999993</v>
      </c>
      <c r="G12" s="365"/>
      <c r="H12" s="366" t="str">
        <f>IF($A$2="EU",'Master EU'!I9,IF($A$2="US",'Master US'!I9,""))</f>
        <v>A Pk</v>
      </c>
      <c r="I12" s="364">
        <f>IF($A$2="EU",'Master EU'!J9,IF($A$2="US",'Master US'!J9,""))</f>
        <v>530.19999999999993</v>
      </c>
      <c r="J12" s="365"/>
      <c r="K12" s="367" t="str">
        <f>IF($A$2="EU",'Master EU'!L9,IF($A$2="US",'Master US'!L9,""))</f>
        <v>A Pk</v>
      </c>
      <c r="P12" s="349" t="str">
        <f>IF($A$2="EU",'Master EU'!B37,IF($A$2="US",'Master US'!B37,""))</f>
        <v>Inlet</v>
      </c>
      <c r="Q12" s="483">
        <f>IF($A$2="EU",'Master EU'!C37,IF($A$2="US",'Master US'!C37,""))</f>
        <v>2</v>
      </c>
      <c r="R12" s="480" t="str">
        <f>IF($A$2="EU",'Master EU'!D37,IF($A$2="US",'Master US'!D37,""))</f>
        <v>L1</v>
      </c>
      <c r="S12" s="480"/>
      <c r="T12" s="480" t="str">
        <f>IF($A$2="EU",'Master EU'!F37,IF($A$2="US",'Master US'!F37,""))</f>
        <v>L2</v>
      </c>
      <c r="U12" s="480"/>
      <c r="V12" s="480" t="str">
        <f>IF($A$2="EU",'Master EU'!H37,IF($A$2="US",'Master US'!H37,""))</f>
        <v>L3</v>
      </c>
      <c r="W12" s="480"/>
      <c r="X12" s="481" t="str">
        <f>IF($A$2="EU",'Master EU'!J37,IF($A$2="US",'Master US'!J37,""))</f>
        <v>Amount</v>
      </c>
      <c r="Y12" s="482"/>
      <c r="Z12" s="481" t="str">
        <f>IF($A$2="EU","",IF($A$2="US",'Master US'!L37,""))</f>
        <v/>
      </c>
      <c r="AA12" s="482"/>
      <c r="AB12" s="481" t="str">
        <f>IF($A$2="EU",'Master EU'!N37,IF($A$2="US",'Master US'!N37,""))</f>
        <v>O K</v>
      </c>
      <c r="AC12" s="482"/>
    </row>
    <row r="13" spans="1:29" ht="16" customHeight="1" x14ac:dyDescent="0.2">
      <c r="B13" s="368"/>
      <c r="C13" s="369"/>
      <c r="F13" s="369"/>
      <c r="I13" s="369"/>
      <c r="P13" s="349" t="str">
        <f>IF($A$2="EU",'Master EU'!B38,IF($A$2="US",'Master US'!B38,""))</f>
        <v>MLTC + 30%</v>
      </c>
      <c r="Q13" s="484"/>
      <c r="R13" s="352">
        <f>IF($A$2="EU",'Master EU'!D38,IF($A$2="US",'Master US'!D38,""))</f>
        <v>28.6</v>
      </c>
      <c r="S13" s="353" t="str">
        <f>IF($A$2="EU",'Master EU'!E38,IF($A$2="US",'Master US'!E38,""))</f>
        <v>A RMS</v>
      </c>
      <c r="T13" s="352">
        <f>IF($A$2="EU",'Master EU'!F38,IF($A$2="US",'Master US'!F38,""))</f>
        <v>28.6</v>
      </c>
      <c r="U13" s="353" t="str">
        <f>IF($A$2="EU",'Master EU'!G38,IF($A$2="US",'Master US'!G38,""))</f>
        <v>A RMS</v>
      </c>
      <c r="V13" s="352">
        <f>IF($A$2="EU",'Master EU'!H38,IF($A$2="US",'Master US'!H38,""))</f>
        <v>28.6</v>
      </c>
      <c r="W13" s="353" t="str">
        <f>IF($A$2="EU",'Master EU'!I38,IF($A$2="US",'Master US'!I38,""))</f>
        <v>A RMS</v>
      </c>
      <c r="X13" s="352" t="str">
        <f>IF($A$2="EU","",IF($A$2="US",'Master US'!J38,""))</f>
        <v/>
      </c>
      <c r="Y13" s="353" t="str">
        <f>IF($A$2="EU","",IF($A$2="US",'Master US'!K38,""))</f>
        <v/>
      </c>
      <c r="Z13" s="352" t="str">
        <f>IF($A$2="EU","",IF($A$2="US",'Master US'!L38,""))</f>
        <v/>
      </c>
      <c r="AA13" s="353" t="str">
        <f>IF($A$2="EU","",IF($A$2="US",'Master US'!M38,""))</f>
        <v/>
      </c>
      <c r="AB13" s="352" t="str">
        <f>IF($A$2="EU","",IF($A$2="US",'Master US'!N38,""))</f>
        <v/>
      </c>
      <c r="AC13" s="353" t="str">
        <f>IF($A$2="EU","",IF($A$2="US",'Master US'!O38,""))</f>
        <v/>
      </c>
    </row>
    <row r="14" spans="1:29" ht="16" customHeight="1" x14ac:dyDescent="0.2">
      <c r="B14" s="368"/>
      <c r="C14" s="369"/>
      <c r="F14" s="369"/>
      <c r="I14" s="369"/>
      <c r="P14" s="349" t="str">
        <f>IF($A$2="EU",'Master EU'!B39,IF($A$2="US",'Master US'!B39,""))</f>
        <v>Burst</v>
      </c>
      <c r="Q14" s="358" t="str">
        <f>IF($A$2="EU","",IF($A$2="US",'Master US'!C39,""))</f>
        <v/>
      </c>
      <c r="R14" s="359">
        <f>IF($A$2="EU",'Master EU'!D39,IF($A$2="US",'Master US'!D39,""))</f>
        <v>37.200000000000003</v>
      </c>
      <c r="S14" s="360" t="str">
        <f>IF($A$2="EU",'Master EU'!E39,IF($A$2="US",'Master US'!E39,""))</f>
        <v>A RMS</v>
      </c>
      <c r="T14" s="359">
        <f>IF($A$2="EU",'Master EU'!F39,IF($A$2="US",'Master US'!F39,""))</f>
        <v>37.200000000000003</v>
      </c>
      <c r="U14" s="360" t="str">
        <f>IF($A$2="EU",'Master EU'!G39,IF($A$2="US",'Master US'!G39,""))</f>
        <v>A RMS</v>
      </c>
      <c r="V14" s="359">
        <f>IF($A$2="EU",'Master EU'!H39,IF($A$2="US",'Master US'!H39,""))</f>
        <v>37.200000000000003</v>
      </c>
      <c r="W14" s="360" t="str">
        <f>IF($A$2="EU",'Master EU'!I39,IF($A$2="US",'Master US'!I39,""))</f>
        <v>A RMS</v>
      </c>
      <c r="X14" s="359">
        <f>IF($A$2="EU",'Master EU'!J39,IF($A$2="US",'Master US'!J39,""))</f>
        <v>1</v>
      </c>
      <c r="Y14" s="360" t="str">
        <f>IF($A$2="EU","",IF($A$2="US",'Master US'!K39,""))</f>
        <v/>
      </c>
      <c r="Z14" s="359" t="str">
        <f>IF($A$2="EU","",IF($A$2="US",'Master US'!L39,""))</f>
        <v/>
      </c>
      <c r="AA14" s="360" t="str">
        <f>IF($A$2="EU","",IF($A$2="US",'Master US'!M39,""))</f>
        <v/>
      </c>
      <c r="AB14" s="359" t="str">
        <f>IF($A$2="EU","",IF($A$2="US",'Master US'!N39,""))</f>
        <v/>
      </c>
      <c r="AC14" s="360" t="str">
        <f>IF($A$2="EU","",IF($A$2="US",'Master US'!O39,""))</f>
        <v/>
      </c>
    </row>
    <row r="15" spans="1:29" ht="16" customHeight="1" x14ac:dyDescent="0.2">
      <c r="B15" s="368"/>
      <c r="C15" s="369"/>
      <c r="F15" s="369"/>
      <c r="I15" s="369"/>
      <c r="P15" s="349" t="str">
        <f>IF($A$2="EU",'Master EU'!B40,IF($A$2="US",'Master US'!B40,""))</f>
        <v>Peak</v>
      </c>
      <c r="Q15" s="94" t="str">
        <f>IF($A$2="EU","",IF($A$2="US",'Master US'!C40,""))</f>
        <v/>
      </c>
      <c r="R15" s="361">
        <f>IF($A$2="EU",'Master EU'!D40,IF($A$2="US",'Master US'!D40,""))</f>
        <v>87.199999999999989</v>
      </c>
      <c r="S15" s="362" t="str">
        <f>IF($A$2="EU",'Master EU'!E40,IF($A$2="US",'Master US'!E40,""))</f>
        <v>A Pk</v>
      </c>
      <c r="T15" s="361">
        <f>IF($A$2="EU",'Master EU'!F40,IF($A$2="US",'Master US'!F40,""))</f>
        <v>87.199999999999989</v>
      </c>
      <c r="U15" s="362" t="str">
        <f>IF($A$2="EU",'Master EU'!G40,IF($A$2="US",'Master US'!G40,""))</f>
        <v>A Pk</v>
      </c>
      <c r="V15" s="361">
        <f>IF($A$2="EU",'Master EU'!H40,IF($A$2="US",'Master US'!H40,""))</f>
        <v>87.199999999999989</v>
      </c>
      <c r="W15" s="362" t="str">
        <f>IF($A$2="EU",'Master EU'!I40,IF($A$2="US",'Master US'!I40,""))</f>
        <v>A Pk</v>
      </c>
      <c r="X15" s="361" t="str">
        <f>IF($A$2="EU","",IF($A$2="US",'Master US'!J40,""))</f>
        <v/>
      </c>
      <c r="Y15" s="362" t="str">
        <f>IF($A$2="EU","",IF($A$2="US",'Master US'!K40,""))</f>
        <v/>
      </c>
      <c r="Z15" s="361" t="str">
        <f>IF($A$2="EU","",IF($A$2="US",'Master US'!L40,""))</f>
        <v/>
      </c>
      <c r="AA15" s="362" t="str">
        <f>IF($A$2="EU","",IF($A$2="US",'Master US'!M40,""))</f>
        <v/>
      </c>
      <c r="AB15" s="361" t="str">
        <f>IF($A$2="EU","",IF($A$2="US",'Master US'!N40,""))</f>
        <v/>
      </c>
      <c r="AC15" s="362" t="str">
        <f>IF($A$2="EU","",IF($A$2="US",'Master US'!O40,""))</f>
        <v/>
      </c>
    </row>
    <row r="16" spans="1:29" ht="16" customHeight="1" x14ac:dyDescent="0.2">
      <c r="B16" s="368"/>
      <c r="C16" s="369"/>
      <c r="F16" s="369"/>
      <c r="I16" s="369"/>
      <c r="P16" s="358"/>
      <c r="Q16" s="358"/>
      <c r="R16" s="358"/>
      <c r="S16" s="358"/>
      <c r="T16" s="358"/>
      <c r="U16" s="358"/>
      <c r="V16" s="358"/>
      <c r="W16" s="358"/>
      <c r="X16" s="358"/>
      <c r="Y16" s="358"/>
      <c r="Z16" s="358"/>
      <c r="AA16" s="358"/>
      <c r="AB16" s="358"/>
      <c r="AC16" s="358"/>
    </row>
    <row r="17" spans="1:29" ht="16" customHeight="1" x14ac:dyDescent="0.2">
      <c r="B17" s="368"/>
      <c r="C17" s="369"/>
      <c r="F17" s="369"/>
      <c r="I17" s="369"/>
      <c r="P17" s="349" t="str">
        <f>IF($A$2="EU",'Master EU'!B42,IF($A$2="US",'Master US'!B42,""))</f>
        <v>Inlet</v>
      </c>
      <c r="Q17" s="483">
        <f>IF($A$2="EU",'Master EU'!C42,IF($A$2="US",'Master US'!C42,""))</f>
        <v>3</v>
      </c>
      <c r="R17" s="480" t="str">
        <f>IF($A$2="EU",'Master EU'!D42,IF($A$2="US",'Master US'!D42,""))</f>
        <v>L1</v>
      </c>
      <c r="S17" s="480"/>
      <c r="T17" s="480" t="str">
        <f>IF($A$2="EU",'Master EU'!F42,IF($A$2="US",'Master US'!F42,""))</f>
        <v>L2</v>
      </c>
      <c r="U17" s="480"/>
      <c r="V17" s="480" t="str">
        <f>IF($A$2="EU",'Master EU'!H42,IF($A$2="US",'Master US'!H42,""))</f>
        <v>L3</v>
      </c>
      <c r="W17" s="480"/>
      <c r="X17" s="481" t="str">
        <f>IF($A$2="EU",'Master EU'!J42,IF($A$2="US",'Master US'!J42,""))</f>
        <v>Amount</v>
      </c>
      <c r="Y17" s="482"/>
      <c r="Z17" s="481" t="str">
        <f>IF($A$2="EU","",IF($A$2="US",'Master US'!L42,""))</f>
        <v/>
      </c>
      <c r="AA17" s="482"/>
      <c r="AB17" s="481" t="str">
        <f>IF($A$2="EU",'Master EU'!N42,IF($A$2="US",'Master US'!N42,""))</f>
        <v>O K</v>
      </c>
      <c r="AC17" s="482"/>
    </row>
    <row r="18" spans="1:29" ht="16" customHeight="1" x14ac:dyDescent="0.2">
      <c r="B18" s="368"/>
      <c r="C18" s="369"/>
      <c r="F18" s="369"/>
      <c r="I18" s="369"/>
      <c r="P18" s="349" t="str">
        <f>IF($A$2="EU",'Master EU'!B43,IF($A$2="US",'Master US'!B43,""))</f>
        <v>MLTC + 30%</v>
      </c>
      <c r="Q18" s="484"/>
      <c r="R18" s="352">
        <f>IF($A$2="EU",'Master EU'!D43,IF($A$2="US",'Master US'!D43,""))</f>
        <v>28.6</v>
      </c>
      <c r="S18" s="353" t="str">
        <f>IF($A$2="EU",'Master EU'!E43,IF($A$2="US",'Master US'!E43,""))</f>
        <v>A RMS</v>
      </c>
      <c r="T18" s="352">
        <f>IF($A$2="EU",'Master EU'!F43,IF($A$2="US",'Master US'!F43,""))</f>
        <v>28.6</v>
      </c>
      <c r="U18" s="353" t="str">
        <f>IF($A$2="EU",'Master EU'!G43,IF($A$2="US",'Master US'!G43,""))</f>
        <v>A RMS</v>
      </c>
      <c r="V18" s="352">
        <f>IF($A$2="EU",'Master EU'!H43,IF($A$2="US",'Master US'!H43,""))</f>
        <v>28.6</v>
      </c>
      <c r="W18" s="353" t="str">
        <f>IF($A$2="EU",'Master EU'!I43,IF($A$2="US",'Master US'!I43,""))</f>
        <v>A RMS</v>
      </c>
      <c r="X18" s="352" t="str">
        <f>IF($A$2="EU","",IF($A$2="US",'Master US'!J43,""))</f>
        <v/>
      </c>
      <c r="Y18" s="353" t="str">
        <f>IF($A$2="EU","",IF($A$2="US",'Master US'!K43,""))</f>
        <v/>
      </c>
      <c r="Z18" s="352" t="str">
        <f>IF($A$2="EU","",IF($A$2="US",'Master US'!L43,""))</f>
        <v/>
      </c>
      <c r="AA18" s="353" t="str">
        <f>IF($A$2="EU","",IF($A$2="US",'Master US'!M43,""))</f>
        <v/>
      </c>
      <c r="AB18" s="352" t="str">
        <f>IF($A$2="EU","",IF($A$2="US",'Master US'!N43,""))</f>
        <v/>
      </c>
      <c r="AC18" s="353" t="str">
        <f>IF($A$2="EU","",IF($A$2="US",'Master US'!O43,""))</f>
        <v/>
      </c>
    </row>
    <row r="19" spans="1:29" ht="16" customHeight="1" x14ac:dyDescent="0.2">
      <c r="B19" s="368"/>
      <c r="C19" s="369"/>
      <c r="F19" s="369"/>
      <c r="I19" s="369"/>
      <c r="P19" s="349" t="str">
        <f>IF($A$2="EU",'Master EU'!B44,IF($A$2="US",'Master US'!B44,""))</f>
        <v>Burst</v>
      </c>
      <c r="Q19" s="358" t="str">
        <f>IF($A$2="EU","",IF($A$2="US",'Master US'!C44,""))</f>
        <v/>
      </c>
      <c r="R19" s="359">
        <f>IF($A$2="EU",'Master EU'!D44,IF($A$2="US",'Master US'!D44,""))</f>
        <v>37.200000000000003</v>
      </c>
      <c r="S19" s="360" t="str">
        <f>IF($A$2="EU",'Master EU'!E44,IF($A$2="US",'Master US'!E44,""))</f>
        <v>A RMS</v>
      </c>
      <c r="T19" s="359">
        <f>IF($A$2="EU",'Master EU'!F44,IF($A$2="US",'Master US'!F44,""))</f>
        <v>37.200000000000003</v>
      </c>
      <c r="U19" s="360" t="str">
        <f>IF($A$2="EU",'Master EU'!G44,IF($A$2="US",'Master US'!G44,""))</f>
        <v>A RMS</v>
      </c>
      <c r="V19" s="359">
        <f>IF($A$2="EU",'Master EU'!H44,IF($A$2="US",'Master US'!H44,""))</f>
        <v>37.200000000000003</v>
      </c>
      <c r="W19" s="360" t="str">
        <f>IF($A$2="EU",'Master EU'!I44,IF($A$2="US",'Master US'!I44,""))</f>
        <v>A RMS</v>
      </c>
      <c r="X19" s="359">
        <f>IF($A$2="EU",'Master EU'!J44,IF($A$2="US",'Master US'!J44,""))</f>
        <v>1</v>
      </c>
      <c r="Y19" s="360" t="str">
        <f>IF($A$2="EU","",IF($A$2="US",'Master US'!K44,""))</f>
        <v/>
      </c>
      <c r="Z19" s="359" t="str">
        <f>IF($A$2="EU","",IF($A$2="US",'Master US'!L44,""))</f>
        <v/>
      </c>
      <c r="AA19" s="360" t="str">
        <f>IF($A$2="EU","",IF($A$2="US",'Master US'!M44,""))</f>
        <v/>
      </c>
      <c r="AB19" s="359" t="str">
        <f>IF($A$2="EU","",IF($A$2="US",'Master US'!N44,""))</f>
        <v/>
      </c>
      <c r="AC19" s="360" t="str">
        <f>IF($A$2="EU","",IF($A$2="US",'Master US'!O44,""))</f>
        <v/>
      </c>
    </row>
    <row r="20" spans="1:29" ht="16" customHeight="1" thickBot="1" x14ac:dyDescent="0.25">
      <c r="P20" s="349" t="str">
        <f>IF($A$2="EU",'Master EU'!B45,IF($A$2="US",'Master US'!B45,""))</f>
        <v>Peak</v>
      </c>
      <c r="Q20" s="94" t="str">
        <f>IF($A$2="EU","",IF($A$2="US",'Master US'!C45,""))</f>
        <v/>
      </c>
      <c r="R20" s="361">
        <f>IF($A$2="EU",'Master EU'!D45,IF($A$2="US",'Master US'!D45,""))</f>
        <v>87.199999999999989</v>
      </c>
      <c r="S20" s="362" t="str">
        <f>IF($A$2="EU",'Master EU'!E45,IF($A$2="US",'Master US'!E45,""))</f>
        <v>A Pk</v>
      </c>
      <c r="T20" s="361">
        <f>IF($A$2="EU",'Master EU'!F45,IF($A$2="US",'Master US'!F45,""))</f>
        <v>87.199999999999989</v>
      </c>
      <c r="U20" s="362" t="str">
        <f>IF($A$2="EU",'Master EU'!G45,IF($A$2="US",'Master US'!G45,""))</f>
        <v>A Pk</v>
      </c>
      <c r="V20" s="361">
        <f>IF($A$2="EU",'Master EU'!H45,IF($A$2="US",'Master US'!H45,""))</f>
        <v>87.199999999999989</v>
      </c>
      <c r="W20" s="362" t="str">
        <f>IF($A$2="EU",'Master EU'!I45,IF($A$2="US",'Master US'!I45,""))</f>
        <v>A Pk</v>
      </c>
      <c r="X20" s="361" t="str">
        <f>IF($A$2="EU","",IF($A$2="US",'Master US'!J45,""))</f>
        <v/>
      </c>
      <c r="Y20" s="362" t="str">
        <f>IF($A$2="EU","",IF($A$2="US",'Master US'!K45,""))</f>
        <v/>
      </c>
      <c r="Z20" s="361" t="str">
        <f>IF($A$2="EU","",IF($A$2="US",'Master US'!L45,""))</f>
        <v/>
      </c>
      <c r="AA20" s="362" t="str">
        <f>IF($A$2="EU","",IF($A$2="US",'Master US'!M45,""))</f>
        <v/>
      </c>
      <c r="AB20" s="361" t="str">
        <f>IF($A$2="EU","",IF($A$2="US",'Master US'!N45,""))</f>
        <v/>
      </c>
      <c r="AC20" s="362" t="str">
        <f>IF($A$2="EU","",IF($A$2="US",'Master US'!O45,""))</f>
        <v/>
      </c>
    </row>
    <row r="21" spans="1:29" ht="16" customHeight="1" x14ac:dyDescent="0.35">
      <c r="A21" s="444" t="str">
        <f>IF($A$2="EU",'EU Single Speakers '!B3,IF($A$2="US",'US Single Speakers'!B3,""))</f>
        <v>Single Speaker EU</v>
      </c>
      <c r="B21" s="454"/>
      <c r="C21" s="454"/>
      <c r="D21" s="454"/>
      <c r="E21" s="454"/>
      <c r="F21" s="454"/>
      <c r="G21" s="454"/>
      <c r="H21" s="455"/>
      <c r="I21" s="458" t="s">
        <v>103</v>
      </c>
      <c r="J21" s="478"/>
      <c r="K21" s="460">
        <f>IF($A$2="EU",'EU Single Speakers '!G3,IF($A$2="US",'US Single Speakers'!G3,""))</f>
        <v>230</v>
      </c>
      <c r="L21" s="460"/>
      <c r="M21" s="462" t="s">
        <v>104</v>
      </c>
      <c r="N21" s="370"/>
      <c r="O21" s="370"/>
      <c r="P21" s="358"/>
      <c r="Q21" s="358"/>
      <c r="R21" s="358"/>
      <c r="S21" s="358"/>
      <c r="T21" s="358"/>
      <c r="U21" s="358"/>
      <c r="V21" s="358"/>
      <c r="W21" s="358"/>
      <c r="X21" s="358"/>
      <c r="Y21" s="358"/>
      <c r="Z21" s="358"/>
      <c r="AA21" s="358"/>
      <c r="AB21" s="358"/>
      <c r="AC21" s="358"/>
    </row>
    <row r="22" spans="1:29" ht="16" customHeight="1" thickBot="1" x14ac:dyDescent="0.4">
      <c r="A22" s="445"/>
      <c r="B22" s="456"/>
      <c r="C22" s="456"/>
      <c r="D22" s="456"/>
      <c r="E22" s="456"/>
      <c r="F22" s="456"/>
      <c r="G22" s="456"/>
      <c r="H22" s="457"/>
      <c r="I22" s="459"/>
      <c r="J22" s="479"/>
      <c r="K22" s="461"/>
      <c r="L22" s="461"/>
      <c r="M22" s="463"/>
      <c r="N22" s="370"/>
      <c r="O22" s="370"/>
      <c r="P22" s="349" t="str">
        <f>IF($A$2="EU",'Master EU'!B47,IF($A$2="US",'Master US'!B47,""))</f>
        <v>Inlet</v>
      </c>
      <c r="Q22" s="483">
        <f>IF($A$2="EU",'Master EU'!C47,IF($A$2="US",'Master US'!C47,""))</f>
        <v>4</v>
      </c>
      <c r="R22" s="480" t="str">
        <f>IF($A$2="EU",'Master EU'!D47,IF($A$2="US",'Master US'!D47,""))</f>
        <v>L1</v>
      </c>
      <c r="S22" s="480"/>
      <c r="T22" s="480" t="str">
        <f>IF($A$2="EU",'Master EU'!F47,IF($A$2="US",'Master US'!F47,""))</f>
        <v>L2</v>
      </c>
      <c r="U22" s="480"/>
      <c r="V22" s="480" t="str">
        <f>IF($A$2="EU",'Master EU'!H47,IF($A$2="US",'Master US'!H47,""))</f>
        <v>L3</v>
      </c>
      <c r="W22" s="480"/>
      <c r="X22" s="481" t="str">
        <f>IF($A$2="EU",'Master EU'!J47,IF($A$2="US",'Master US'!J47,""))</f>
        <v>Amount</v>
      </c>
      <c r="Y22" s="482"/>
      <c r="Z22" s="481" t="str">
        <f>IF($A$2="EU","",IF($A$2="US",'Master US'!L47,""))</f>
        <v/>
      </c>
      <c r="AA22" s="482"/>
      <c r="AB22" s="481" t="str">
        <f>IF($A$2="EU",'Master EU'!N47,IF($A$2="US",'Master US'!N47,""))</f>
        <v>O K</v>
      </c>
      <c r="AC22" s="482"/>
    </row>
    <row r="23" spans="1:29" ht="16" customHeight="1" x14ac:dyDescent="0.2">
      <c r="P23" s="349" t="str">
        <f>IF($A$2="EU",'Master EU'!B48,IF($A$2="US",'Master US'!B48,""))</f>
        <v>MLTC + 30%</v>
      </c>
      <c r="Q23" s="484"/>
      <c r="R23" s="352">
        <f>IF($A$2="EU",'Master EU'!D48,IF($A$2="US",'Master US'!D48,""))</f>
        <v>28.6</v>
      </c>
      <c r="S23" s="353" t="str">
        <f>IF($A$2="EU",'Master EU'!E48,IF($A$2="US",'Master US'!E48,""))</f>
        <v>A RMS</v>
      </c>
      <c r="T23" s="352">
        <f>IF($A$2="EU",'Master EU'!F48,IF($A$2="US",'Master US'!F48,""))</f>
        <v>28.6</v>
      </c>
      <c r="U23" s="353" t="str">
        <f>IF($A$2="EU",'Master EU'!G48,IF($A$2="US",'Master US'!G48,""))</f>
        <v>A RMS</v>
      </c>
      <c r="V23" s="352">
        <f>IF($A$2="EU",'Master EU'!H48,IF($A$2="US",'Master US'!H48,""))</f>
        <v>28.6</v>
      </c>
      <c r="W23" s="353" t="str">
        <f>IF($A$2="EU",'Master EU'!I48,IF($A$2="US",'Master US'!I48,""))</f>
        <v>A RMS</v>
      </c>
      <c r="X23" s="352" t="str">
        <f>IF($A$2="EU","",IF($A$2="US",'Master US'!J48,""))</f>
        <v/>
      </c>
      <c r="Y23" s="353" t="str">
        <f>IF($A$2="EU","",IF($A$2="US",'Master US'!K48,""))</f>
        <v/>
      </c>
      <c r="Z23" s="352" t="str">
        <f>IF($A$2="EU","",IF($A$2="US",'Master US'!L48,""))</f>
        <v/>
      </c>
      <c r="AA23" s="353" t="str">
        <f>IF($A$2="EU","",IF($A$2="US",'Master US'!M48,""))</f>
        <v/>
      </c>
      <c r="AB23" s="352" t="str">
        <f>IF($A$2="EU","",IF($A$2="US",'Master US'!N48,""))</f>
        <v/>
      </c>
      <c r="AC23" s="353" t="str">
        <f>IF($A$2="EU","",IF($A$2="US",'Master US'!O48,""))</f>
        <v/>
      </c>
    </row>
    <row r="24" spans="1:29" ht="16" customHeight="1" x14ac:dyDescent="0.2">
      <c r="C24" s="464" t="str">
        <f>IF($A$2="EU",'EU Single Speakers '!G5,IF($A$2="US",'US Single Speakers'!G5,""))</f>
        <v>MLTC</v>
      </c>
      <c r="D24" s="465"/>
      <c r="E24" s="466"/>
      <c r="F24" s="464" t="str">
        <f>IF($A$2="EU",'EU Single Speakers '!J5,IF($A$2="US",'US Single Speakers'!J5,""))</f>
        <v>Burst</v>
      </c>
      <c r="G24" s="465"/>
      <c r="H24" s="466"/>
      <c r="I24" s="464" t="str">
        <f>IF($A$2="EU",'EU Single Speakers '!M5,IF($A$2="US",'US Single Speakers'!M5,""))</f>
        <v>Peak</v>
      </c>
      <c r="J24" s="465"/>
      <c r="K24" s="466"/>
      <c r="M24" s="371" t="str">
        <f>IF($A$2="EU",'EU Single Speakers '!S5,IF($A$2="US",'US Single Speakers'!S5,""))</f>
        <v>BTU / h</v>
      </c>
      <c r="P24" s="349" t="str">
        <f>IF($A$2="EU",'Master EU'!B49,IF($A$2="US",'Master US'!B49,""))</f>
        <v>Burst</v>
      </c>
      <c r="Q24" s="358" t="str">
        <f>IF($A$2="EU","",IF($A$2="US",'Master US'!C49,""))</f>
        <v/>
      </c>
      <c r="R24" s="359">
        <f>IF($A$2="EU",'Master EU'!D49,IF($A$2="US",'Master US'!D49,""))</f>
        <v>37.200000000000003</v>
      </c>
      <c r="S24" s="360" t="str">
        <f>IF($A$2="EU",'Master EU'!E49,IF($A$2="US",'Master US'!E49,""))</f>
        <v>A RMS</v>
      </c>
      <c r="T24" s="359">
        <f>IF($A$2="EU",'Master EU'!F49,IF($A$2="US",'Master US'!F49,""))</f>
        <v>37.200000000000003</v>
      </c>
      <c r="U24" s="360" t="str">
        <f>IF($A$2="EU",'Master EU'!G49,IF($A$2="US",'Master US'!G49,""))</f>
        <v>A RMS</v>
      </c>
      <c r="V24" s="359">
        <f>IF($A$2="EU",'Master EU'!H49,IF($A$2="US",'Master US'!H49,""))</f>
        <v>37.200000000000003</v>
      </c>
      <c r="W24" s="360" t="str">
        <f>IF($A$2="EU",'Master EU'!I49,IF($A$2="US",'Master US'!I49,""))</f>
        <v>A RMS</v>
      </c>
      <c r="X24" s="359">
        <f>IF($A$2="EU",'Master EU'!J49,IF($A$2="US",'Master US'!J49,""))</f>
        <v>1</v>
      </c>
      <c r="Y24" s="360" t="str">
        <f>IF($A$2="EU","",IF($A$2="US",'Master US'!K49,""))</f>
        <v/>
      </c>
      <c r="Z24" s="359" t="str">
        <f>IF($A$2="EU","",IF($A$2="US",'Master US'!L49,""))</f>
        <v/>
      </c>
      <c r="AA24" s="360" t="str">
        <f>IF($A$2="EU","",IF($A$2="US",'Master US'!M49,""))</f>
        <v/>
      </c>
      <c r="AB24" s="359" t="str">
        <f>IF($A$2="EU","",IF($A$2="US",'Master US'!N49,""))</f>
        <v/>
      </c>
      <c r="AC24" s="360" t="str">
        <f>IF($A$2="EU","",IF($A$2="US",'Master US'!O49,""))</f>
        <v/>
      </c>
    </row>
    <row r="25" spans="1:29" ht="16" customHeight="1" x14ac:dyDescent="0.2">
      <c r="A25" s="467" t="str">
        <f>IF($A$2="EU",'EU Single Speakers '!B7,IF($A$2="US",'US Single Speakers'!B7,""))</f>
        <v>Safety factor :</v>
      </c>
      <c r="B25" s="468"/>
      <c r="C25" s="372"/>
      <c r="D25">
        <f>IF($A$2="EU",'EU Single Speakers '!E6,IF($A$2="US",'US Single Speakers'!E6,""))</f>
        <v>0</v>
      </c>
      <c r="E25" s="201"/>
      <c r="F25" s="372"/>
      <c r="H25" s="201"/>
      <c r="I25" s="372"/>
      <c r="K25" s="201"/>
      <c r="M25" s="371"/>
      <c r="P25" s="349" t="str">
        <f>IF($A$2="EU",'Master EU'!B50,IF($A$2="US",'Master US'!B50,""))</f>
        <v>Peak</v>
      </c>
      <c r="Q25" s="94" t="str">
        <f>IF($A$2="EU","",IF($A$2="US",'Master US'!C50,""))</f>
        <v/>
      </c>
      <c r="R25" s="361">
        <f>IF($A$2="EU",'Master EU'!D50,IF($A$2="US",'Master US'!D50,""))</f>
        <v>87.199999999999989</v>
      </c>
      <c r="S25" s="362" t="str">
        <f>IF($A$2="EU",'Master EU'!E50,IF($A$2="US",'Master US'!E50,""))</f>
        <v>A Pk</v>
      </c>
      <c r="T25" s="361">
        <f>IF($A$2="EU",'Master EU'!F50,IF($A$2="US",'Master US'!F50,""))</f>
        <v>87.199999999999989</v>
      </c>
      <c r="U25" s="362" t="str">
        <f>IF($A$2="EU",'Master EU'!G50,IF($A$2="US",'Master US'!G50,""))</f>
        <v>A Pk</v>
      </c>
      <c r="V25" s="361">
        <f>IF($A$2="EU",'Master EU'!H50,IF($A$2="US",'Master US'!H50,""))</f>
        <v>87.199999999999989</v>
      </c>
      <c r="W25" s="362" t="str">
        <f>IF($A$2="EU",'Master EU'!I50,IF($A$2="US",'Master US'!I50,""))</f>
        <v>A Pk</v>
      </c>
      <c r="X25" s="361" t="str">
        <f>IF($A$2="EU","",IF($A$2="US",'Master US'!J50,""))</f>
        <v/>
      </c>
      <c r="Y25" s="362" t="str">
        <f>IF($A$2="EU","",IF($A$2="US",'Master US'!K50,""))</f>
        <v/>
      </c>
      <c r="Z25" s="361" t="str">
        <f>IF($A$2="EU","",IF($A$2="US",'Master US'!L50,""))</f>
        <v/>
      </c>
      <c r="AA25" s="362" t="str">
        <f>IF($A$2="EU","",IF($A$2="US",'Master US'!M50,""))</f>
        <v/>
      </c>
      <c r="AB25" s="361" t="str">
        <f>IF($A$2="EU","",IF($A$2="US",'Master US'!N50,""))</f>
        <v/>
      </c>
      <c r="AC25" s="362" t="str">
        <f>IF($A$2="EU","",IF($A$2="US",'Master US'!O50,""))</f>
        <v/>
      </c>
    </row>
    <row r="26" spans="1:29" ht="16" customHeight="1" x14ac:dyDescent="0.2">
      <c r="A26" s="450">
        <f>IF($A$2="EU",'EU Single Speakers '!C7,IF($A$2="US",'US Single Speakers'!C7,""))</f>
        <v>0.3</v>
      </c>
      <c r="B26" s="451"/>
      <c r="C26" s="373">
        <f>IF($A$2="EU",'EU Single Speakers '!G7,IF($A$2="US",'US Single Speakers'!G7,""))</f>
        <v>1.3</v>
      </c>
      <c r="D26" s="374">
        <f>IF($A$2="EU",'EU Single Speakers '!E7,IF($A$2="US",'US Single Speakers'!E7,""))</f>
        <v>0</v>
      </c>
      <c r="E26" s="375" t="str">
        <f>IF($A$2="EU",'EU Single Speakers '!H7,IF($A$2="US",'US Single Speakers'!H7,""))</f>
        <v>A RMS</v>
      </c>
      <c r="F26" s="373">
        <f>IF($A$2="EU",'EU Single Speakers '!J7,IF($A$2="US",'US Single Speakers'!J7,""))</f>
        <v>1.95</v>
      </c>
      <c r="G26" s="374"/>
      <c r="H26" s="375" t="str">
        <f>IF($A$2="EU",'EU Single Speakers '!K7,IF($A$2="US",'US Single Speakers'!K7,""))</f>
        <v>A RMS</v>
      </c>
      <c r="I26" s="373">
        <f>IF($A$2="EU",'EU Single Speakers '!M7,IF($A$2="US",'US Single Speakers'!M7,""))</f>
        <v>4.42</v>
      </c>
      <c r="J26" s="374"/>
      <c r="K26" s="375" t="str">
        <f>IF($A$2="EU",'EU Single Speakers '!N7,IF($A$2="US",'US Single Speakers'!N7,""))</f>
        <v>A Pk</v>
      </c>
      <c r="M26" s="480">
        <f>IF($A$2="EU",'EU Single Speakers '!S9,IF($A$2="US",'US Single Speakers'!S9,""))</f>
        <v>196</v>
      </c>
      <c r="N26" s="94"/>
      <c r="O26" s="94"/>
      <c r="P26" s="358"/>
      <c r="Q26" s="358"/>
      <c r="R26" s="358"/>
      <c r="S26" s="358"/>
      <c r="T26" s="358"/>
      <c r="U26" s="358"/>
      <c r="V26" s="358"/>
      <c r="W26" s="358"/>
      <c r="X26" s="358"/>
      <c r="Y26" s="358"/>
      <c r="Z26" s="358"/>
      <c r="AA26" s="358"/>
      <c r="AB26" s="358"/>
      <c r="AC26" s="358"/>
    </row>
    <row r="27" spans="1:29" ht="16" customHeight="1" x14ac:dyDescent="0.2">
      <c r="A27" s="452"/>
      <c r="B27" s="453"/>
      <c r="C27" s="373">
        <f>IF($A$2="EU",'EU Single Speakers '!G9,IF($A$2="US",'US Single Speakers'!G9,""))</f>
        <v>1</v>
      </c>
      <c r="D27" s="374"/>
      <c r="E27" s="375" t="str">
        <f>IF($A$2="EU",'EU Single Speakers '!H9,IF($A$2="US",'US Single Speakers'!H9,""))</f>
        <v>A RMS</v>
      </c>
      <c r="F27" s="373">
        <f>IF($A$2="EU",'EU Single Speakers '!J9,IF($A$2="US",'US Single Speakers'!J9,""))</f>
        <v>1.5</v>
      </c>
      <c r="G27" s="374"/>
      <c r="H27" s="375" t="str">
        <f>IF($A$2="EU",'EU Single Speakers '!K9,IF($A$2="US",'US Single Speakers'!K9,""))</f>
        <v>A RMS</v>
      </c>
      <c r="I27" s="373">
        <f>IF($A$2="EU",'EU Single Speakers '!M9,IF($A$2="US",'US Single Speakers'!M9,""))</f>
        <v>3.4</v>
      </c>
      <c r="J27" s="374"/>
      <c r="K27" s="375" t="str">
        <f>IF($A$2="EU",'EU Single Speakers '!N9,IF($A$2="US",'US Single Speakers'!N9,""))</f>
        <v>A Pk</v>
      </c>
      <c r="M27" s="480"/>
      <c r="N27" s="94"/>
      <c r="O27" s="94"/>
      <c r="P27" s="349" t="str">
        <f>IF($A$2="EU",'Master EU'!B52,IF($A$2="US",'Master US'!B52,""))</f>
        <v>Inlet</v>
      </c>
      <c r="Q27" s="483">
        <f>IF($A$2="EU",'Master EU'!C52,IF($A$2="US",'Master US'!C52,""))</f>
        <v>5</v>
      </c>
      <c r="R27" s="480" t="str">
        <f>IF($A$2="EU",'Master EU'!D52,IF($A$2="US",'Master US'!D52,""))</f>
        <v>L1</v>
      </c>
      <c r="S27" s="480"/>
      <c r="T27" s="480" t="str">
        <f>IF($A$2="EU",'Master EU'!F52,IF($A$2="US",'Master US'!F52,""))</f>
        <v>L2</v>
      </c>
      <c r="U27" s="480"/>
      <c r="V27" s="480" t="str">
        <f>IF($A$2="EU",'Master EU'!H52,IF($A$2="US",'Master US'!H52,""))</f>
        <v>L3</v>
      </c>
      <c r="W27" s="480"/>
      <c r="X27" s="481" t="str">
        <f>IF($A$2="EU",'Master EU'!J52,IF($A$2="US",'Master US'!J52,""))</f>
        <v>Amount</v>
      </c>
      <c r="Y27" s="482"/>
      <c r="Z27" s="481" t="str">
        <f>IF($A$2="EU","",IF($A$2="US",'Master US'!L52,""))</f>
        <v/>
      </c>
      <c r="AA27" s="482"/>
      <c r="AB27" s="481" t="str">
        <f>IF($A$2="EU",'Master EU'!N52,IF($A$2="US",'Master US'!N52,""))</f>
        <v>O K</v>
      </c>
      <c r="AC27" s="482"/>
    </row>
    <row r="28" spans="1:29" ht="16" customHeight="1" x14ac:dyDescent="0.2">
      <c r="P28" s="349" t="str">
        <f>IF($A$2="EU",'Master EU'!B53,IF($A$2="US",'Master US'!B53,""))</f>
        <v>MLTC + 30%</v>
      </c>
      <c r="Q28" s="484"/>
      <c r="R28" s="352">
        <f>IF($A$2="EU",'Master EU'!D53,IF($A$2="US",'Master US'!D53,""))</f>
        <v>28.6</v>
      </c>
      <c r="S28" s="353" t="str">
        <f>IF($A$2="EU",'Master EU'!E53,IF($A$2="US",'Master US'!E53,""))</f>
        <v>A RMS</v>
      </c>
      <c r="T28" s="352">
        <f>IF($A$2="EU",'Master EU'!F53,IF($A$2="US",'Master US'!F53,""))</f>
        <v>28.6</v>
      </c>
      <c r="U28" s="353" t="str">
        <f>IF($A$2="EU",'Master EU'!G53,IF($A$2="US",'Master US'!G53,""))</f>
        <v>A RMS</v>
      </c>
      <c r="V28" s="352">
        <f>IF($A$2="EU",'Master EU'!H53,IF($A$2="US",'Master US'!H53,""))</f>
        <v>28.6</v>
      </c>
      <c r="W28" s="353" t="str">
        <f>IF($A$2="EU",'Master EU'!I53,IF($A$2="US",'Master US'!I53,""))</f>
        <v>A RMS</v>
      </c>
      <c r="X28" s="352" t="str">
        <f>IF($A$2="EU","",IF($A$2="US",'Master US'!J53,""))</f>
        <v/>
      </c>
      <c r="Y28" s="353" t="str">
        <f>IF($A$2="EU","",IF($A$2="US",'Master US'!K53,""))</f>
        <v/>
      </c>
      <c r="Z28" s="352" t="str">
        <f>IF($A$2="EU","",IF($A$2="US",'Master US'!L53,""))</f>
        <v/>
      </c>
      <c r="AA28" s="353" t="str">
        <f>IF($A$2="EU","",IF($A$2="US",'Master US'!M53,""))</f>
        <v/>
      </c>
      <c r="AB28" s="352" t="str">
        <f>IF($A$2="EU","",IF($A$2="US",'Master US'!N53,""))</f>
        <v/>
      </c>
      <c r="AC28" s="353" t="str">
        <f>IF($A$2="EU","",IF($A$2="US",'Master US'!O53,""))</f>
        <v/>
      </c>
    </row>
    <row r="29" spans="1:29" ht="16" customHeight="1" x14ac:dyDescent="0.2">
      <c r="M29" s="90"/>
      <c r="N29" s="90"/>
      <c r="O29" s="90"/>
      <c r="P29" s="349" t="str">
        <f>IF($A$2="EU",'Master EU'!B54,IF($A$2="US",'Master US'!B54,""))</f>
        <v>Burst</v>
      </c>
      <c r="Q29" s="358" t="str">
        <f>IF($A$2="EU","",IF($A$2="US",'Master US'!C54,""))</f>
        <v/>
      </c>
      <c r="R29" s="359">
        <f>IF($A$2="EU",'Master EU'!D54,IF($A$2="US",'Master US'!D54,""))</f>
        <v>37.200000000000003</v>
      </c>
      <c r="S29" s="360" t="str">
        <f>IF($A$2="EU",'Master EU'!E54,IF($A$2="US",'Master US'!E54,""))</f>
        <v>A RMS</v>
      </c>
      <c r="T29" s="359">
        <f>IF($A$2="EU",'Master EU'!F54,IF($A$2="US",'Master US'!F54,""))</f>
        <v>37.200000000000003</v>
      </c>
      <c r="U29" s="360" t="str">
        <f>IF($A$2="EU",'Master EU'!G54,IF($A$2="US",'Master US'!G54,""))</f>
        <v>A RMS</v>
      </c>
      <c r="V29" s="359">
        <f>IF($A$2="EU",'Master EU'!H54,IF($A$2="US",'Master US'!H54,""))</f>
        <v>37.200000000000003</v>
      </c>
      <c r="W29" s="360" t="str">
        <f>IF($A$2="EU",'Master EU'!I54,IF($A$2="US",'Master US'!I54,""))</f>
        <v>A RMS</v>
      </c>
      <c r="X29" s="359">
        <f>IF($A$2="EU",'Master EU'!J54,IF($A$2="US",'Master US'!J54,""))</f>
        <v>1</v>
      </c>
      <c r="Y29" s="360" t="str">
        <f>IF($A$2="EU","",IF($A$2="US",'Master US'!K54,""))</f>
        <v/>
      </c>
      <c r="Z29" s="359" t="str">
        <f>IF($A$2="EU","",IF($A$2="US",'Master US'!L54,""))</f>
        <v/>
      </c>
      <c r="AA29" s="360" t="str">
        <f>IF($A$2="EU","",IF($A$2="US",'Master US'!M54,""))</f>
        <v/>
      </c>
      <c r="AB29" s="359" t="str">
        <f>IF($A$2="EU","",IF($A$2="US",'Master US'!N54,""))</f>
        <v/>
      </c>
      <c r="AC29" s="360" t="str">
        <f>IF($A$2="EU","",IF($A$2="US",'Master US'!O54,""))</f>
        <v/>
      </c>
    </row>
    <row r="30" spans="1:29" ht="16" customHeight="1" x14ac:dyDescent="0.35">
      <c r="A30" s="376"/>
      <c r="B30" s="376"/>
      <c r="C30" s="376"/>
      <c r="D30" s="376"/>
      <c r="E30" s="376"/>
      <c r="F30" s="376"/>
      <c r="G30" s="376"/>
      <c r="H30" s="376"/>
      <c r="I30" s="377"/>
      <c r="J30" s="378"/>
      <c r="K30" s="378"/>
      <c r="L30" s="378"/>
      <c r="M30" s="379"/>
      <c r="N30" s="379"/>
      <c r="O30" s="379"/>
      <c r="P30" s="380" t="str">
        <f>IF($A$2="EU",'Master EU'!B55,IF($A$2="US",'Master US'!B55,""))</f>
        <v>Peak</v>
      </c>
      <c r="Q30" s="94" t="str">
        <f>IF($A$2="EU","",IF($A$2="US",'Master US'!C55,""))</f>
        <v/>
      </c>
      <c r="R30" s="361">
        <f>IF($A$2="EU",'Master EU'!D55,IF($A$2="US",'Master US'!D55,""))</f>
        <v>87.199999999999989</v>
      </c>
      <c r="S30" s="362" t="str">
        <f>IF($A$2="EU",'Master EU'!E55,IF($A$2="US",'Master US'!E55,""))</f>
        <v>A Pk</v>
      </c>
      <c r="T30" s="361">
        <f>IF($A$2="EU",'Master EU'!F55,IF($A$2="US",'Master US'!F55,""))</f>
        <v>87.199999999999989</v>
      </c>
      <c r="U30" s="362" t="str">
        <f>IF($A$2="EU",'Master EU'!G55,IF($A$2="US",'Master US'!G55,""))</f>
        <v>A Pk</v>
      </c>
      <c r="V30" s="361">
        <f>IF($A$2="EU",'Master EU'!H55,IF($A$2="US",'Master US'!H55,""))</f>
        <v>87.199999999999989</v>
      </c>
      <c r="W30" s="362" t="str">
        <f>IF($A$2="EU",'Master EU'!I55,IF($A$2="US",'Master US'!I55,""))</f>
        <v>A Pk</v>
      </c>
      <c r="X30" s="361" t="str">
        <f>IF($A$2="EU","",IF($A$2="US",'Master US'!J55,""))</f>
        <v/>
      </c>
      <c r="Y30" s="362" t="str">
        <f>IF($A$2="EU","",IF($A$2="US",'Master US'!K55,""))</f>
        <v/>
      </c>
      <c r="Z30" s="361" t="str">
        <f>IF($A$2="EU","",IF($A$2="US",'Master US'!L55,""))</f>
        <v/>
      </c>
      <c r="AA30" s="362" t="str">
        <f>IF($A$2="EU","",IF($A$2="US",'Master US'!M55,""))</f>
        <v/>
      </c>
      <c r="AB30" s="361" t="str">
        <f>IF($A$2="EU","",IF($A$2="US",'Master US'!N55,""))</f>
        <v/>
      </c>
      <c r="AC30" s="362" t="str">
        <f>IF($A$2="EU","",IF($A$2="US",'Master US'!O55,""))</f>
        <v/>
      </c>
    </row>
    <row r="31" spans="1:29" ht="16" customHeight="1" x14ac:dyDescent="0.35">
      <c r="A31" s="342"/>
      <c r="B31" s="342"/>
      <c r="C31" s="342"/>
      <c r="D31" s="342"/>
      <c r="E31" s="342"/>
      <c r="F31" s="342"/>
      <c r="G31" s="342"/>
      <c r="H31" s="342"/>
      <c r="I31" s="377"/>
      <c r="J31" s="378"/>
      <c r="K31" s="378"/>
      <c r="L31" s="378"/>
      <c r="M31" s="379"/>
      <c r="N31" s="379"/>
      <c r="O31" s="379"/>
      <c r="P31" s="358"/>
      <c r="Q31" s="358"/>
      <c r="R31" s="358"/>
      <c r="S31" s="358"/>
      <c r="T31" s="358"/>
      <c r="U31" s="358"/>
      <c r="V31" s="358"/>
      <c r="W31" s="358"/>
      <c r="X31" s="358"/>
      <c r="Y31" s="358"/>
      <c r="Z31" s="358"/>
      <c r="AA31" s="358"/>
      <c r="AB31" s="358"/>
      <c r="AC31" s="358"/>
    </row>
    <row r="32" spans="1:29" ht="16" customHeight="1" x14ac:dyDescent="0.35">
      <c r="A32" s="342"/>
      <c r="B32" s="342"/>
      <c r="C32" s="342"/>
      <c r="D32" s="342"/>
      <c r="E32" s="342"/>
      <c r="F32" s="342"/>
      <c r="G32" s="342"/>
      <c r="H32" s="342"/>
      <c r="I32" s="377"/>
      <c r="J32" s="378"/>
      <c r="K32" s="378"/>
      <c r="L32" s="378"/>
      <c r="M32" s="379"/>
      <c r="N32" s="379"/>
      <c r="O32" s="379"/>
      <c r="P32" s="380" t="str">
        <f>IF($A$2="EU",'Master EU'!B57,IF($A$2="US",'Master US'!B57,""))</f>
        <v>Inlet</v>
      </c>
      <c r="Q32" s="483">
        <f>IF($A$2="EU",'Master EU'!C57,IF($A$2="US",'Master US'!C57,""))</f>
        <v>6</v>
      </c>
      <c r="R32" s="480" t="str">
        <f>IF($A$2="EU",'Master EU'!D57,IF($A$2="US",'Master US'!D57,""))</f>
        <v>L1</v>
      </c>
      <c r="S32" s="480"/>
      <c r="T32" s="480" t="str">
        <f>IF($A$2="EU",'Master EU'!F57,IF($A$2="US",'Master US'!F57,""))</f>
        <v>L2</v>
      </c>
      <c r="U32" s="480"/>
      <c r="V32" s="480" t="str">
        <f>IF($A$2="EU",'Master EU'!H57,IF($A$2="US",'Master US'!H57,""))</f>
        <v>L3</v>
      </c>
      <c r="W32" s="480"/>
      <c r="X32" s="481" t="str">
        <f>IF($A$2="EU",'Master EU'!J57,IF($A$2="US",'Master US'!J57,""))</f>
        <v>Amount</v>
      </c>
      <c r="Y32" s="482"/>
      <c r="Z32" s="481" t="str">
        <f>IF($A$2="EU","",IF($A$2="US",'Master US'!L57,""))</f>
        <v/>
      </c>
      <c r="AA32" s="482"/>
      <c r="AB32" s="481" t="str">
        <f>IF($A$2="EU",'Master EU'!N57,IF($A$2="US",'Master US'!N57,""))</f>
        <v>O K</v>
      </c>
      <c r="AC32" s="482"/>
    </row>
    <row r="33" spans="1:29" ht="16" customHeight="1" x14ac:dyDescent="0.2">
      <c r="P33" s="349" t="str">
        <f>IF($A$2="EU",'Master EU'!B58,IF($A$2="US",'Master US'!B58,""))</f>
        <v>MLTC + 30%</v>
      </c>
      <c r="Q33" s="484"/>
      <c r="R33" s="352">
        <f>IF($A$2="EU",'Master EU'!D58,IF($A$2="US",'Master US'!D58,""))</f>
        <v>28.6</v>
      </c>
      <c r="S33" s="353" t="str">
        <f>IF($A$2="EU",'Master EU'!E58,IF($A$2="US",'Master US'!E58,""))</f>
        <v>A RMS</v>
      </c>
      <c r="T33" s="352">
        <f>IF($A$2="EU",'Master EU'!F58,IF($A$2="US",'Master US'!F58,""))</f>
        <v>28.6</v>
      </c>
      <c r="U33" s="353" t="str">
        <f>IF($A$2="EU",'Master EU'!G58,IF($A$2="US",'Master US'!G58,""))</f>
        <v>A RMS</v>
      </c>
      <c r="V33" s="352">
        <f>IF($A$2="EU",'Master EU'!H58,IF($A$2="US",'Master US'!H58,""))</f>
        <v>28.6</v>
      </c>
      <c r="W33" s="353" t="str">
        <f>IF($A$2="EU",'Master EU'!I58,IF($A$2="US",'Master US'!I58,""))</f>
        <v>A RMS</v>
      </c>
      <c r="X33" s="352" t="str">
        <f>IF($A$2="EU","",IF($A$2="US",'Master US'!J58,""))</f>
        <v/>
      </c>
      <c r="Y33" s="353" t="str">
        <f>IF($A$2="EU","",IF($A$2="US",'Master US'!K58,""))</f>
        <v/>
      </c>
      <c r="Z33" s="352" t="str">
        <f>IF($A$2="EU","",IF($A$2="US",'Master US'!L58,""))</f>
        <v/>
      </c>
      <c r="AA33" s="353" t="str">
        <f>IF($A$2="EU","",IF($A$2="US",'Master US'!M58,""))</f>
        <v/>
      </c>
      <c r="AB33" s="352" t="str">
        <f>IF($A$2="EU","",IF($A$2="US",'Master US'!N58,""))</f>
        <v/>
      </c>
      <c r="AC33" s="353" t="str">
        <f>IF($A$2="EU","",IF($A$2="US",'Master US'!O58,""))</f>
        <v/>
      </c>
    </row>
    <row r="34" spans="1:29" ht="16" customHeight="1" x14ac:dyDescent="0.2">
      <c r="P34" s="349" t="str">
        <f>IF($A$2="EU",'Master EU'!B59,IF($A$2="US",'Master US'!B59,""))</f>
        <v>Burst</v>
      </c>
      <c r="Q34" s="358" t="str">
        <f>IF($A$2="EU","",IF($A$2="US",'Master US'!C59,""))</f>
        <v/>
      </c>
      <c r="R34" s="359">
        <f>IF($A$2="EU",'Master EU'!D59,IF($A$2="US",'Master US'!D59,""))</f>
        <v>37.200000000000003</v>
      </c>
      <c r="S34" s="360" t="str">
        <f>IF($A$2="EU",'Master EU'!E59,IF($A$2="US",'Master US'!E59,""))</f>
        <v>A RMS</v>
      </c>
      <c r="T34" s="359">
        <f>IF($A$2="EU",'Master EU'!F59,IF($A$2="US",'Master US'!F59,""))</f>
        <v>37.200000000000003</v>
      </c>
      <c r="U34" s="360" t="str">
        <f>IF($A$2="EU",'Master EU'!G59,IF($A$2="US",'Master US'!G59,""))</f>
        <v>A RMS</v>
      </c>
      <c r="V34" s="359">
        <f>IF($A$2="EU",'Master EU'!H59,IF($A$2="US",'Master US'!H59,""))</f>
        <v>37.200000000000003</v>
      </c>
      <c r="W34" s="360" t="str">
        <f>IF($A$2="EU",'Master EU'!I59,IF($A$2="US",'Master US'!I59,""))</f>
        <v>A RMS</v>
      </c>
      <c r="X34" s="359">
        <f>IF($A$2="EU",'Master EU'!J59,IF($A$2="US",'Master US'!J59,""))</f>
        <v>1</v>
      </c>
      <c r="Y34" s="360" t="str">
        <f>IF($A$2="EU","",IF($A$2="US",'Master US'!K59,""))</f>
        <v/>
      </c>
      <c r="Z34" s="359" t="str">
        <f>IF($A$2="EU","",IF($A$2="US",'Master US'!L59,""))</f>
        <v/>
      </c>
      <c r="AA34" s="360" t="str">
        <f>IF($A$2="EU","",IF($A$2="US",'Master US'!M59,""))</f>
        <v/>
      </c>
      <c r="AB34" s="359" t="str">
        <f>IF($A$2="EU","",IF($A$2="US",'Master US'!N59,""))</f>
        <v/>
      </c>
      <c r="AC34" s="360" t="str">
        <f>IF($A$2="EU","",IF($A$2="US",'Master US'!O59,""))</f>
        <v/>
      </c>
    </row>
    <row r="35" spans="1:29" ht="16" customHeight="1" x14ac:dyDescent="0.2">
      <c r="P35" s="349" t="str">
        <f>IF($A$2="EU",'Master EU'!B60,IF($A$2="US",'Master US'!B60,""))</f>
        <v>Peak</v>
      </c>
      <c r="Q35" s="94" t="str">
        <f>IF($A$2="EU","",IF($A$2="US",'Master US'!C60,""))</f>
        <v/>
      </c>
      <c r="R35" s="361">
        <f>IF($A$2="EU",'Master EU'!D60,IF($A$2="US",'Master US'!D60,""))</f>
        <v>87.199999999999989</v>
      </c>
      <c r="S35" s="362" t="str">
        <f>IF($A$2="EU",'Master EU'!E60,IF($A$2="US",'Master US'!E60,""))</f>
        <v>A Pk</v>
      </c>
      <c r="T35" s="361">
        <f>IF($A$2="EU",'Master EU'!F60,IF($A$2="US",'Master US'!F60,""))</f>
        <v>87.199999999999989</v>
      </c>
      <c r="U35" s="362" t="str">
        <f>IF($A$2="EU",'Master EU'!G60,IF($A$2="US",'Master US'!G60,""))</f>
        <v>A Pk</v>
      </c>
      <c r="V35" s="361">
        <f>IF($A$2="EU",'Master EU'!H60,IF($A$2="US",'Master US'!H60,""))</f>
        <v>87.199999999999989</v>
      </c>
      <c r="W35" s="362" t="str">
        <f>IF($A$2="EU",'Master EU'!I60,IF($A$2="US",'Master US'!I60,""))</f>
        <v>A Pk</v>
      </c>
      <c r="X35" s="361" t="str">
        <f>IF($A$2="EU","",IF($A$2="US",'Master US'!J60,""))</f>
        <v/>
      </c>
      <c r="Y35" s="362" t="str">
        <f>IF($A$2="EU","",IF($A$2="US",'Master US'!K60,""))</f>
        <v/>
      </c>
      <c r="Z35" s="361" t="str">
        <f>IF($A$2="EU","",IF($A$2="US",'Master US'!L60,""))</f>
        <v/>
      </c>
      <c r="AA35" s="362" t="str">
        <f>IF($A$2="EU","",IF($A$2="US",'Master US'!M60,""))</f>
        <v/>
      </c>
      <c r="AB35" s="361" t="str">
        <f>IF($A$2="EU","",IF($A$2="US",'Master US'!N60,""))</f>
        <v/>
      </c>
      <c r="AC35" s="362" t="str">
        <f>IF($A$2="EU","",IF($A$2="US",'Master US'!O60,""))</f>
        <v/>
      </c>
    </row>
    <row r="36" spans="1:29" ht="16" customHeight="1" x14ac:dyDescent="0.2">
      <c r="P36" s="358"/>
      <c r="Q36" s="94"/>
      <c r="R36" s="358"/>
      <c r="S36" s="358"/>
      <c r="T36" s="358"/>
      <c r="U36" s="358"/>
      <c r="V36" s="358"/>
      <c r="W36" s="358"/>
      <c r="X36" s="358"/>
      <c r="Y36" s="358"/>
      <c r="Z36" s="358"/>
      <c r="AA36" s="358"/>
      <c r="AB36" s="358"/>
      <c r="AC36" s="358"/>
    </row>
    <row r="37" spans="1:29" ht="16" customHeight="1" x14ac:dyDescent="0.2">
      <c r="A37" t="str">
        <f>Data!G1</f>
        <v>© 2021</v>
      </c>
      <c r="M37" s="88" t="str">
        <f>Data!M1</f>
        <v>06.257.005.01 C</v>
      </c>
      <c r="P37" t="str">
        <f>Data!G1</f>
        <v>© 2021</v>
      </c>
      <c r="Q37" s="94"/>
    </row>
    <row r="38" spans="1:29" ht="16" customHeight="1" x14ac:dyDescent="0.2">
      <c r="A38" t="str">
        <f>Data!T1</f>
        <v>Meyer Sound Laboratories, Inc. Berkeley, California, USA                                 www.meyersound.com</v>
      </c>
      <c r="P38" t="str">
        <f>Data!T1</f>
        <v>Meyer Sound Laboratories, Inc. Berkeley, California, USA                                 www.meyersound.com</v>
      </c>
      <c r="Q38" s="94"/>
      <c r="AC38" s="88" t="str">
        <f>Data!M1</f>
        <v>06.257.005.01 C</v>
      </c>
    </row>
    <row r="39" spans="1:29" ht="16" customHeight="1" thickBot="1" x14ac:dyDescent="0.25">
      <c r="Q39" s="94"/>
    </row>
    <row r="40" spans="1:29" ht="16" customHeight="1" thickBot="1" x14ac:dyDescent="0.25">
      <c r="A40" s="414" t="s">
        <v>1</v>
      </c>
      <c r="B40" s="415"/>
      <c r="C40" s="415"/>
      <c r="D40" s="415"/>
      <c r="E40" s="415"/>
      <c r="F40" s="415"/>
      <c r="G40" s="415"/>
      <c r="H40" s="415"/>
      <c r="I40" s="415"/>
      <c r="J40" s="415"/>
      <c r="K40" s="415"/>
      <c r="L40" s="415"/>
      <c r="M40" s="416"/>
      <c r="Q40" s="94"/>
    </row>
    <row r="41" spans="1:29" ht="16" customHeight="1" thickBot="1" x14ac:dyDescent="0.25">
      <c r="A41" s="417"/>
      <c r="B41" s="418"/>
      <c r="C41" s="418"/>
      <c r="D41" s="418"/>
      <c r="E41" s="418"/>
      <c r="F41" s="418"/>
      <c r="G41" s="418"/>
      <c r="H41" s="418"/>
      <c r="I41" s="418"/>
      <c r="J41" s="418"/>
      <c r="K41" s="418"/>
      <c r="L41" s="418"/>
      <c r="M41" s="419"/>
      <c r="P41" s="444" t="str">
        <f>IF(A2="EU",A2,"")</f>
        <v>EU</v>
      </c>
      <c r="Q41" s="446" t="str">
        <f>IF(A2="EU","MDM - 5000","")</f>
        <v>MDM - 5000</v>
      </c>
      <c r="R41" s="446"/>
      <c r="S41" s="446"/>
      <c r="T41" s="446"/>
      <c r="U41" s="446"/>
      <c r="V41" s="446"/>
      <c r="W41" s="446"/>
      <c r="X41" s="446"/>
      <c r="Y41" s="446"/>
      <c r="Z41" s="446"/>
      <c r="AA41" s="446"/>
      <c r="AB41" s="446"/>
      <c r="AC41" s="447"/>
    </row>
    <row r="42" spans="1:29" ht="16" customHeight="1" thickBot="1" x14ac:dyDescent="0.25">
      <c r="A42" s="381"/>
      <c r="P42" s="445"/>
      <c r="Q42" s="448"/>
      <c r="R42" s="448"/>
      <c r="S42" s="448"/>
      <c r="T42" s="448"/>
      <c r="U42" s="448"/>
      <c r="V42" s="448"/>
      <c r="W42" s="448"/>
      <c r="X42" s="448"/>
      <c r="Y42" s="448"/>
      <c r="Z42" s="448"/>
      <c r="AA42" s="448"/>
      <c r="AB42" s="448"/>
      <c r="AC42" s="449"/>
    </row>
    <row r="43" spans="1:29" ht="16" customHeight="1" x14ac:dyDescent="0.2">
      <c r="A43" s="423" t="s">
        <v>2</v>
      </c>
      <c r="B43" s="424"/>
      <c r="C43" s="424"/>
      <c r="D43" s="424"/>
      <c r="E43" s="424"/>
      <c r="F43" s="424"/>
      <c r="G43" s="424"/>
      <c r="H43" s="424"/>
      <c r="I43" s="424"/>
      <c r="J43" s="424"/>
      <c r="K43" s="424"/>
      <c r="L43" s="424"/>
      <c r="M43" s="425"/>
    </row>
    <row r="44" spans="1:29" ht="20" customHeight="1" x14ac:dyDescent="0.2">
      <c r="A44" s="426"/>
      <c r="B44" s="427"/>
      <c r="C44" s="427"/>
      <c r="D44" s="427"/>
      <c r="E44" s="427"/>
      <c r="F44" s="427"/>
      <c r="G44" s="427"/>
      <c r="H44" s="427"/>
      <c r="I44" s="427"/>
      <c r="J44" s="427"/>
      <c r="K44" s="427"/>
      <c r="L44" s="427"/>
      <c r="M44" s="428"/>
      <c r="P44" s="382" t="str">
        <f>IF($A$2="EU",'Master EU'!B63,"")</f>
        <v>MDM- 832 #1</v>
      </c>
    </row>
    <row r="45" spans="1:29" ht="16" customHeight="1" x14ac:dyDescent="0.2">
      <c r="A45" s="426"/>
      <c r="B45" s="427"/>
      <c r="C45" s="427"/>
      <c r="D45" s="427"/>
      <c r="E45" s="427"/>
      <c r="F45" s="427"/>
      <c r="G45" s="427"/>
      <c r="H45" s="427"/>
      <c r="I45" s="427"/>
      <c r="J45" s="427"/>
      <c r="K45" s="427"/>
      <c r="L45" s="427"/>
      <c r="M45" s="428"/>
      <c r="P45" s="371" t="str">
        <f>IF($A$2="EU",'Master EU'!B64,"")</f>
        <v>Inlet</v>
      </c>
      <c r="Q45" s="181"/>
      <c r="R45" s="442" t="str">
        <f>IF($A$2="EU",'Master EU'!D64,"")</f>
        <v>L1</v>
      </c>
      <c r="S45" s="443"/>
      <c r="T45" s="442" t="str">
        <f>IF($A$2="EU",'Master EU'!F64,"")</f>
        <v/>
      </c>
      <c r="U45" s="443"/>
      <c r="V45" s="442" t="str">
        <f>IF($A$2="EU",'Master EU'!H64,"")</f>
        <v/>
      </c>
      <c r="W45" s="443"/>
      <c r="X45" s="442" t="str">
        <f>IF($A$2="EU",'Master EU'!J64,"")</f>
        <v>Amount</v>
      </c>
      <c r="Y45" s="443"/>
      <c r="Z45" s="181"/>
      <c r="AA45" s="181"/>
      <c r="AB45" s="436" t="str">
        <f>IF($A$2="EU",'Master EU'!N64,"")</f>
        <v>O K</v>
      </c>
      <c r="AC45" s="437"/>
    </row>
    <row r="46" spans="1:29" x14ac:dyDescent="0.2">
      <c r="A46" s="429"/>
      <c r="B46" s="430"/>
      <c r="C46" s="430"/>
      <c r="D46" s="430"/>
      <c r="E46" s="430"/>
      <c r="F46" s="430"/>
      <c r="G46" s="430"/>
      <c r="H46" s="430"/>
      <c r="I46" s="430"/>
      <c r="J46" s="430"/>
      <c r="K46" s="430"/>
      <c r="L46" s="430"/>
      <c r="M46" s="431"/>
      <c r="P46" s="371" t="str">
        <f>IF($A$2="EU",'Master EU'!B65,"")</f>
        <v>MLTC + 30%</v>
      </c>
      <c r="R46" s="371">
        <f>IF($A$2="EU",'Master EU'!D65,"")</f>
        <v>23.919999999999998</v>
      </c>
      <c r="S46" s="371" t="str">
        <f>IF($A$2="EU",'Master EU'!E65,"")</f>
        <v>A RMS</v>
      </c>
      <c r="T46" s="371" t="str">
        <f>IF($A$2="EU",'Master EU'!F65,"")</f>
        <v/>
      </c>
      <c r="U46" s="371" t="str">
        <f>IF($A$2="EU",'Master EU'!G65,"")</f>
        <v/>
      </c>
      <c r="V46" s="371" t="str">
        <f>IF($A$2="EU",'Master EU'!H65,"")</f>
        <v/>
      </c>
      <c r="W46" s="371" t="str">
        <f>IF($A$2="EU",'Master EU'!I65,"")</f>
        <v/>
      </c>
      <c r="X46" s="372"/>
      <c r="Y46" s="201"/>
      <c r="AB46" s="438"/>
      <c r="AC46" s="439"/>
    </row>
    <row r="47" spans="1:29" x14ac:dyDescent="0.2">
      <c r="A47" s="89"/>
      <c r="B47" s="89"/>
      <c r="C47" s="89"/>
      <c r="D47" s="89"/>
      <c r="E47" s="89"/>
      <c r="F47" s="89"/>
      <c r="G47" s="89"/>
      <c r="H47" s="89"/>
      <c r="I47" s="89"/>
      <c r="J47" s="89"/>
      <c r="K47" s="89"/>
      <c r="L47" s="89"/>
      <c r="M47" s="89"/>
      <c r="P47" s="371" t="str">
        <f>IF($A$2="EU",'Master EU'!B66,"")</f>
        <v>Burst</v>
      </c>
      <c r="R47" s="371">
        <f>IF($A$2="EU",'Master EU'!D66,"")</f>
        <v>32.4</v>
      </c>
      <c r="S47" s="371" t="str">
        <f>IF($A$2="EU",'Master EU'!E66,"")</f>
        <v>A RMS</v>
      </c>
      <c r="T47" s="371" t="str">
        <f>IF($A$2="EU",'Master EU'!F66,"")</f>
        <v/>
      </c>
      <c r="U47" s="371" t="str">
        <f>IF($A$2="EU",'Master EU'!G66,"")</f>
        <v/>
      </c>
      <c r="V47" s="371" t="str">
        <f>IF($A$2="EU",'Master EU'!H66,"")</f>
        <v/>
      </c>
      <c r="W47" s="371" t="str">
        <f>IF($A$2="EU",'Master EU'!I66,"")</f>
        <v/>
      </c>
      <c r="X47" s="432">
        <f>IF($A$2="EU",'Master EU'!J66,"")</f>
        <v>1</v>
      </c>
      <c r="Y47" s="433"/>
      <c r="AB47" s="438"/>
      <c r="AC47" s="439"/>
    </row>
    <row r="48" spans="1:29" ht="16" customHeight="1" x14ac:dyDescent="0.2">
      <c r="A48" s="420" t="s">
        <v>3</v>
      </c>
      <c r="B48" s="421"/>
      <c r="C48" s="421"/>
      <c r="D48" s="421"/>
      <c r="E48" s="421"/>
      <c r="F48" s="421"/>
      <c r="G48" s="421"/>
      <c r="H48" s="421"/>
      <c r="I48" s="421"/>
      <c r="J48" s="421"/>
      <c r="K48" s="421"/>
      <c r="L48" s="421"/>
      <c r="M48" s="422"/>
      <c r="P48" s="371" t="str">
        <f>IF($A$2="EU",'Master EU'!B67,"")</f>
        <v>Peak</v>
      </c>
      <c r="Q48" s="383"/>
      <c r="R48" s="371">
        <f>IF($A$2="EU",'Master EU'!D67,"")</f>
        <v>53.999999999999986</v>
      </c>
      <c r="S48" s="371" t="str">
        <f>IF($A$2="EU",'Master EU'!E67,"")</f>
        <v>A Pk</v>
      </c>
      <c r="T48" s="371" t="str">
        <f>IF($A$2="EU",'Master EU'!F67,"")</f>
        <v/>
      </c>
      <c r="U48" s="371" t="str">
        <f>IF($A$2="EU",'Master EU'!G67,"")</f>
        <v/>
      </c>
      <c r="V48" s="371" t="str">
        <f>IF($A$2="EU",'Master EU'!H67,"")</f>
        <v/>
      </c>
      <c r="W48" s="371" t="str">
        <f>IF($A$2="EU",'Master EU'!I67,"")</f>
        <v/>
      </c>
      <c r="X48" s="434"/>
      <c r="Y48" s="435"/>
      <c r="Z48" s="383"/>
      <c r="AA48" s="383"/>
      <c r="AB48" s="440"/>
      <c r="AC48" s="441"/>
    </row>
    <row r="49" spans="1:29" ht="21" x14ac:dyDescent="0.2">
      <c r="A49" s="411"/>
      <c r="B49" s="412"/>
      <c r="C49" s="412"/>
      <c r="D49" s="412"/>
      <c r="E49" s="412"/>
      <c r="F49" s="412"/>
      <c r="G49" s="412"/>
      <c r="H49" s="412"/>
      <c r="I49" s="412"/>
      <c r="J49" s="412"/>
      <c r="K49" s="412"/>
      <c r="L49" s="412"/>
      <c r="M49" s="413"/>
      <c r="AB49" s="384"/>
      <c r="AC49" s="384"/>
    </row>
    <row r="50" spans="1:29" ht="21" x14ac:dyDescent="0.2">
      <c r="A50" s="385"/>
      <c r="B50" s="385"/>
      <c r="C50" s="385"/>
      <c r="D50" s="385"/>
      <c r="E50" s="385"/>
      <c r="F50" s="385"/>
      <c r="G50" s="385"/>
      <c r="H50" s="385"/>
      <c r="I50" s="385"/>
      <c r="J50" s="385"/>
      <c r="K50" s="385"/>
      <c r="L50" s="385"/>
      <c r="M50" s="385"/>
      <c r="P50" s="386" t="str">
        <f>IF($A$2="EU",'Master EU'!B69,"")</f>
        <v>MDM- 832 #2</v>
      </c>
      <c r="AB50" s="384"/>
      <c r="AC50" s="384"/>
    </row>
    <row r="51" spans="1:29" ht="16" customHeight="1" x14ac:dyDescent="0.2">
      <c r="A51" s="420" t="s">
        <v>4</v>
      </c>
      <c r="B51" s="421"/>
      <c r="C51" s="421"/>
      <c r="D51" s="421"/>
      <c r="E51" s="421"/>
      <c r="F51" s="421"/>
      <c r="G51" s="421"/>
      <c r="H51" s="421"/>
      <c r="I51" s="421"/>
      <c r="J51" s="421"/>
      <c r="K51" s="421"/>
      <c r="L51" s="421"/>
      <c r="M51" s="422"/>
      <c r="P51" s="371" t="str">
        <f>IF($A$2="EU",'Master EU'!B70,"")</f>
        <v>Inlet</v>
      </c>
      <c r="Q51" s="181"/>
      <c r="R51" s="442" t="str">
        <f>IF($A$2="EU",'Master EU'!D70,"")</f>
        <v/>
      </c>
      <c r="S51" s="443"/>
      <c r="T51" s="442" t="str">
        <f>IF($A$2="EU",'Master EU'!F70,"")</f>
        <v>L2</v>
      </c>
      <c r="U51" s="443"/>
      <c r="V51" s="442" t="str">
        <f>IF($A$2="EU",'Master EU'!H70,"")</f>
        <v/>
      </c>
      <c r="W51" s="443"/>
      <c r="X51" s="442" t="str">
        <f>IF($A$2="EU",'Master EU'!J70,"")</f>
        <v>Amount</v>
      </c>
      <c r="Y51" s="443"/>
      <c r="Z51" s="181"/>
      <c r="AA51" s="181"/>
      <c r="AB51" s="436" t="str">
        <f>IF($A$2="EU",'Master EU'!N70,"")</f>
        <v>O K</v>
      </c>
      <c r="AC51" s="437"/>
    </row>
    <row r="52" spans="1:29" x14ac:dyDescent="0.2">
      <c r="A52" s="408"/>
      <c r="B52" s="409"/>
      <c r="C52" s="409"/>
      <c r="D52" s="409"/>
      <c r="E52" s="409"/>
      <c r="F52" s="409"/>
      <c r="G52" s="409"/>
      <c r="H52" s="409"/>
      <c r="I52" s="409"/>
      <c r="J52" s="409"/>
      <c r="K52" s="409"/>
      <c r="L52" s="409"/>
      <c r="M52" s="410"/>
      <c r="P52" s="371" t="str">
        <f>IF($A$2="EU",'Master EU'!B71,"")</f>
        <v>MLTC + 30%</v>
      </c>
      <c r="R52" s="371" t="str">
        <f>IF($A$2="EU",'Master EU'!D71,"")</f>
        <v/>
      </c>
      <c r="S52" s="371" t="str">
        <f>IF($A$2="EU",'Master EU'!E71,"")</f>
        <v/>
      </c>
      <c r="T52" s="371">
        <f>IF($A$2="EU",'Master EU'!F71,"")</f>
        <v>11.44</v>
      </c>
      <c r="U52" s="371" t="str">
        <f>IF($A$2="EU",'Master EU'!G71,"")</f>
        <v>A RMS</v>
      </c>
      <c r="V52" s="371" t="str">
        <f>IF($A$2="EU",'Master EU'!H71,"")</f>
        <v/>
      </c>
      <c r="W52" s="371" t="str">
        <f>IF($A$2="EU",'Master EU'!I71,"")</f>
        <v/>
      </c>
      <c r="X52" s="372"/>
      <c r="Y52" s="201"/>
      <c r="AB52" s="438"/>
      <c r="AC52" s="439"/>
    </row>
    <row r="53" spans="1:29" x14ac:dyDescent="0.2">
      <c r="A53" s="408"/>
      <c r="B53" s="409"/>
      <c r="C53" s="409"/>
      <c r="D53" s="409"/>
      <c r="E53" s="409"/>
      <c r="F53" s="409"/>
      <c r="G53" s="409"/>
      <c r="H53" s="409"/>
      <c r="I53" s="409"/>
      <c r="J53" s="409"/>
      <c r="K53" s="409"/>
      <c r="L53" s="409"/>
      <c r="M53" s="410"/>
      <c r="P53" s="371" t="str">
        <f>IF($A$2="EU",'Master EU'!B72,"")</f>
        <v>Burst</v>
      </c>
      <c r="R53" s="371" t="str">
        <f>IF($A$2="EU",'Master EU'!D72,"")</f>
        <v/>
      </c>
      <c r="S53" s="371" t="str">
        <f>IF($A$2="EU",'Master EU'!E72,"")</f>
        <v/>
      </c>
      <c r="T53" s="371">
        <f>IF($A$2="EU",'Master EU'!F72,"")</f>
        <v>19.2</v>
      </c>
      <c r="U53" s="371" t="str">
        <f>IF($A$2="EU",'Master EU'!G72,"")</f>
        <v>A RMS</v>
      </c>
      <c r="V53" s="371" t="str">
        <f>IF($A$2="EU",'Master EU'!H72,"")</f>
        <v/>
      </c>
      <c r="W53" s="371" t="str">
        <f>IF($A$2="EU",'Master EU'!I72,"")</f>
        <v/>
      </c>
      <c r="X53" s="432">
        <f>IF($A$2="EU",'Master EU'!J72,"")</f>
        <v>1</v>
      </c>
      <c r="Y53" s="433"/>
      <c r="AB53" s="438"/>
      <c r="AC53" s="439"/>
    </row>
    <row r="54" spans="1:29" x14ac:dyDescent="0.2">
      <c r="A54" s="408"/>
      <c r="B54" s="409"/>
      <c r="C54" s="409"/>
      <c r="D54" s="409"/>
      <c r="E54" s="409"/>
      <c r="F54" s="409"/>
      <c r="G54" s="409"/>
      <c r="H54" s="409"/>
      <c r="I54" s="409"/>
      <c r="J54" s="409"/>
      <c r="K54" s="409"/>
      <c r="L54" s="409"/>
      <c r="M54" s="410"/>
      <c r="P54" s="371" t="str">
        <f>IF($A$2="EU",'Master EU'!B73,"")</f>
        <v>Peak</v>
      </c>
      <c r="Q54" s="383"/>
      <c r="R54" s="371" t="str">
        <f>IF($A$2="EU",'Master EU'!D73,"")</f>
        <v/>
      </c>
      <c r="S54" s="371" t="str">
        <f>IF($A$2="EU",'Master EU'!E73,"")</f>
        <v/>
      </c>
      <c r="T54" s="371">
        <f>IF($A$2="EU",'Master EU'!F73,"")</f>
        <v>19.2</v>
      </c>
      <c r="U54" s="371" t="str">
        <f>IF($A$2="EU",'Master EU'!G73,"")</f>
        <v>A Pk</v>
      </c>
      <c r="V54" s="371" t="str">
        <f>IF($A$2="EU",'Master EU'!H73,"")</f>
        <v/>
      </c>
      <c r="W54" s="371" t="str">
        <f>IF($A$2="EU",'Master EU'!I73,"")</f>
        <v/>
      </c>
      <c r="X54" s="434"/>
      <c r="Y54" s="435"/>
      <c r="Z54" s="383"/>
      <c r="AA54" s="383"/>
      <c r="AB54" s="440"/>
      <c r="AC54" s="441"/>
    </row>
    <row r="55" spans="1:29" ht="21" x14ac:dyDescent="0.2">
      <c r="A55" s="408"/>
      <c r="B55" s="409"/>
      <c r="C55" s="409"/>
      <c r="D55" s="409"/>
      <c r="E55" s="409"/>
      <c r="F55" s="409"/>
      <c r="G55" s="409"/>
      <c r="H55" s="409"/>
      <c r="I55" s="409"/>
      <c r="J55" s="409"/>
      <c r="K55" s="409"/>
      <c r="L55" s="409"/>
      <c r="M55" s="410"/>
      <c r="AB55" s="384"/>
      <c r="AC55" s="384"/>
    </row>
    <row r="56" spans="1:29" ht="21" x14ac:dyDescent="0.2">
      <c r="A56" s="408"/>
      <c r="B56" s="409"/>
      <c r="C56" s="409"/>
      <c r="D56" s="409"/>
      <c r="E56" s="409"/>
      <c r="F56" s="409"/>
      <c r="G56" s="409"/>
      <c r="H56" s="409"/>
      <c r="I56" s="409"/>
      <c r="J56" s="409"/>
      <c r="K56" s="409"/>
      <c r="L56" s="409"/>
      <c r="M56" s="410"/>
      <c r="P56" s="386" t="str">
        <f>IF($A$2="EU",'Master EU'!B75,"")</f>
        <v>MDM- 832 #3</v>
      </c>
      <c r="AB56" s="384"/>
      <c r="AC56" s="384"/>
    </row>
    <row r="57" spans="1:29" x14ac:dyDescent="0.2">
      <c r="A57" s="408"/>
      <c r="B57" s="409"/>
      <c r="C57" s="409"/>
      <c r="D57" s="409"/>
      <c r="E57" s="409"/>
      <c r="F57" s="409"/>
      <c r="G57" s="409"/>
      <c r="H57" s="409"/>
      <c r="I57" s="409"/>
      <c r="J57" s="409"/>
      <c r="K57" s="409"/>
      <c r="L57" s="409"/>
      <c r="M57" s="410"/>
      <c r="P57" s="371" t="str">
        <f>IF($A$2="EU",'Master EU'!B76,"")</f>
        <v>Inlet</v>
      </c>
      <c r="Q57" s="181"/>
      <c r="R57" s="442" t="str">
        <f>IF($A$2="EU",'Master EU'!D76,"")</f>
        <v/>
      </c>
      <c r="S57" s="443"/>
      <c r="T57" s="442" t="str">
        <f>IF($A$2="EU",'Master EU'!F76,"")</f>
        <v/>
      </c>
      <c r="U57" s="443"/>
      <c r="V57" s="442" t="str">
        <f>IF($A$2="EU",'Master EU'!H76,"")</f>
        <v>L3</v>
      </c>
      <c r="W57" s="443"/>
      <c r="X57" s="442" t="str">
        <f>IF($A$2="EU",'Master EU'!J76,"")</f>
        <v>Amount</v>
      </c>
      <c r="Y57" s="443"/>
      <c r="Z57" s="181"/>
      <c r="AA57" s="181"/>
      <c r="AB57" s="436" t="str">
        <f>IF($A$2="EU",'Master EU'!N76,"")</f>
        <v>O K</v>
      </c>
      <c r="AC57" s="437"/>
    </row>
    <row r="58" spans="1:29" x14ac:dyDescent="0.2">
      <c r="A58" s="411"/>
      <c r="B58" s="412"/>
      <c r="C58" s="412"/>
      <c r="D58" s="412"/>
      <c r="E58" s="412"/>
      <c r="F58" s="412"/>
      <c r="G58" s="412"/>
      <c r="H58" s="412"/>
      <c r="I58" s="412"/>
      <c r="J58" s="412"/>
      <c r="K58" s="412"/>
      <c r="L58" s="412"/>
      <c r="M58" s="413"/>
      <c r="P58" s="371" t="str">
        <f>IF($A$2="EU",'Master EU'!B77,"")</f>
        <v>MLTC + 30%</v>
      </c>
      <c r="R58" s="371" t="str">
        <f>IF($A$2="EU",'Master EU'!D77,"")</f>
        <v/>
      </c>
      <c r="S58" s="371" t="str">
        <f>IF($A$2="EU",'Master EU'!E77,"")</f>
        <v/>
      </c>
      <c r="T58" s="371" t="str">
        <f>IF($A$2="EU",'Master EU'!F77,"")</f>
        <v/>
      </c>
      <c r="U58" s="371" t="str">
        <f>IF($A$2="EU",'Master EU'!G77,"")</f>
        <v/>
      </c>
      <c r="V58" s="371">
        <f>IF($A$2="EU",'Master EU'!H77,"")</f>
        <v>11.44</v>
      </c>
      <c r="W58" s="371" t="str">
        <f>IF($A$2="EU",'Master EU'!I77,"")</f>
        <v>A RMS</v>
      </c>
      <c r="X58" s="372"/>
      <c r="Y58" s="201"/>
      <c r="AB58" s="438"/>
      <c r="AC58" s="439"/>
    </row>
    <row r="59" spans="1:29" x14ac:dyDescent="0.2">
      <c r="A59" s="385"/>
      <c r="B59" s="385"/>
      <c r="C59" s="385"/>
      <c r="D59" s="385"/>
      <c r="E59" s="385"/>
      <c r="F59" s="385"/>
      <c r="G59" s="385"/>
      <c r="H59" s="385"/>
      <c r="I59" s="385"/>
      <c r="J59" s="385"/>
      <c r="K59" s="385"/>
      <c r="L59" s="385"/>
      <c r="M59" s="385"/>
      <c r="P59" s="371" t="str">
        <f>IF($A$2="EU",'Master EU'!B78,"")</f>
        <v>Burst</v>
      </c>
      <c r="R59" s="371" t="str">
        <f>IF($A$2="EU",'Master EU'!D78,"")</f>
        <v/>
      </c>
      <c r="S59" s="371" t="str">
        <f>IF($A$2="EU",'Master EU'!E78,"")</f>
        <v/>
      </c>
      <c r="T59" s="371" t="str">
        <f>IF($A$2="EU",'Master EU'!F78,"")</f>
        <v/>
      </c>
      <c r="U59" s="371" t="str">
        <f>IF($A$2="EU",'Master EU'!G78,"")</f>
        <v/>
      </c>
      <c r="V59" s="371">
        <f>IF($A$2="EU",'Master EU'!H78,"")</f>
        <v>19.2</v>
      </c>
      <c r="W59" s="371" t="str">
        <f>IF($A$2="EU",'Master EU'!I78,"")</f>
        <v>A RMS</v>
      </c>
      <c r="X59" s="432">
        <f>IF($A$2="EU",'Master EU'!J78,"")</f>
        <v>1</v>
      </c>
      <c r="Y59" s="433"/>
      <c r="AB59" s="438"/>
      <c r="AC59" s="439"/>
    </row>
    <row r="60" spans="1:29" ht="16" customHeight="1" x14ac:dyDescent="0.2">
      <c r="A60" s="420" t="s">
        <v>5</v>
      </c>
      <c r="B60" s="421"/>
      <c r="C60" s="421"/>
      <c r="D60" s="421"/>
      <c r="E60" s="421"/>
      <c r="F60" s="421"/>
      <c r="G60" s="421"/>
      <c r="H60" s="421"/>
      <c r="I60" s="421"/>
      <c r="J60" s="421"/>
      <c r="K60" s="421"/>
      <c r="L60" s="421"/>
      <c r="M60" s="422"/>
      <c r="P60" s="371" t="str">
        <f>IF($A$2="EU",'Master EU'!B79,"")</f>
        <v>Peak</v>
      </c>
      <c r="Q60" s="383"/>
      <c r="R60" s="371" t="str">
        <f>IF($A$2="EU",'Master EU'!D79,"")</f>
        <v/>
      </c>
      <c r="S60" s="371" t="str">
        <f>IF($A$2="EU",'Master EU'!E79,"")</f>
        <v/>
      </c>
      <c r="T60" s="371" t="str">
        <f>IF($A$2="EU",'Master EU'!F79,"")</f>
        <v/>
      </c>
      <c r="U60" s="371" t="str">
        <f>IF($A$2="EU",'Master EU'!G79,"")</f>
        <v/>
      </c>
      <c r="V60" s="371">
        <f>IF($A$2="EU",'Master EU'!H79,"")</f>
        <v>19.2</v>
      </c>
      <c r="W60" s="371" t="str">
        <f>IF($A$2="EU",'Master EU'!I79,"")</f>
        <v>A Pk</v>
      </c>
      <c r="X60" s="434"/>
      <c r="Y60" s="435"/>
      <c r="Z60" s="383"/>
      <c r="AA60" s="383"/>
      <c r="AB60" s="440"/>
      <c r="AC60" s="441"/>
    </row>
    <row r="61" spans="1:29" ht="21" x14ac:dyDescent="0.2">
      <c r="A61" s="408"/>
      <c r="B61" s="409"/>
      <c r="C61" s="409"/>
      <c r="D61" s="409"/>
      <c r="E61" s="409"/>
      <c r="F61" s="409"/>
      <c r="G61" s="409"/>
      <c r="H61" s="409"/>
      <c r="I61" s="409"/>
      <c r="J61" s="409"/>
      <c r="K61" s="409"/>
      <c r="L61" s="409"/>
      <c r="M61" s="410"/>
      <c r="AB61" s="384"/>
      <c r="AC61" s="384"/>
    </row>
    <row r="62" spans="1:29" ht="21" x14ac:dyDescent="0.2">
      <c r="A62" s="408"/>
      <c r="B62" s="409"/>
      <c r="C62" s="409"/>
      <c r="D62" s="409"/>
      <c r="E62" s="409"/>
      <c r="F62" s="409"/>
      <c r="G62" s="409"/>
      <c r="H62" s="409"/>
      <c r="I62" s="409"/>
      <c r="J62" s="409"/>
      <c r="K62" s="409"/>
      <c r="L62" s="409"/>
      <c r="M62" s="410"/>
      <c r="P62" s="386" t="str">
        <f>IF($A$2="EU",'Master EU'!B81,"")</f>
        <v>MDM- 832 #4</v>
      </c>
      <c r="AB62" s="384"/>
      <c r="AC62" s="384"/>
    </row>
    <row r="63" spans="1:29" x14ac:dyDescent="0.2">
      <c r="A63" s="408"/>
      <c r="B63" s="409"/>
      <c r="C63" s="409"/>
      <c r="D63" s="409"/>
      <c r="E63" s="409"/>
      <c r="F63" s="409"/>
      <c r="G63" s="409"/>
      <c r="H63" s="409"/>
      <c r="I63" s="409"/>
      <c r="J63" s="409"/>
      <c r="K63" s="409"/>
      <c r="L63" s="409"/>
      <c r="M63" s="410"/>
      <c r="P63" s="371" t="str">
        <f>IF($A$2="EU",'Master EU'!B82,"")</f>
        <v>Inlet</v>
      </c>
      <c r="Q63" s="181"/>
      <c r="R63" s="442" t="str">
        <f>IF($A$2="EU",'Master EU'!D82,"")</f>
        <v>L1</v>
      </c>
      <c r="S63" s="443"/>
      <c r="T63" s="442" t="str">
        <f>IF($A$2="EU",'Master EU'!F82,"")</f>
        <v/>
      </c>
      <c r="U63" s="443"/>
      <c r="V63" s="442" t="str">
        <f>IF($A$2="EU",'Master EU'!H82,"")</f>
        <v/>
      </c>
      <c r="W63" s="443"/>
      <c r="X63" s="442" t="str">
        <f>IF($A$2="EU",'Master EU'!J82,"")</f>
        <v>Amount</v>
      </c>
      <c r="Y63" s="443"/>
      <c r="Z63" s="181"/>
      <c r="AA63" s="181"/>
      <c r="AB63" s="436" t="str">
        <f>IF($A$2="EU",'Master EU'!N82,"")</f>
        <v>O K</v>
      </c>
      <c r="AC63" s="437"/>
    </row>
    <row r="64" spans="1:29" x14ac:dyDescent="0.2">
      <c r="A64" s="411"/>
      <c r="B64" s="412"/>
      <c r="C64" s="412"/>
      <c r="D64" s="412"/>
      <c r="E64" s="412"/>
      <c r="F64" s="412"/>
      <c r="G64" s="412"/>
      <c r="H64" s="412"/>
      <c r="I64" s="412"/>
      <c r="J64" s="412"/>
      <c r="K64" s="412"/>
      <c r="L64" s="412"/>
      <c r="M64" s="413"/>
      <c r="P64" s="371" t="str">
        <f>IF($A$2="EU",'Master EU'!B83,"")</f>
        <v>MLTC + 30%</v>
      </c>
      <c r="R64" s="371">
        <f>IF($A$2="EU",'Master EU'!D83,"")</f>
        <v>11.44</v>
      </c>
      <c r="S64" s="371" t="str">
        <f>IF($A$2="EU",'Master EU'!E83,"")</f>
        <v>A RMS</v>
      </c>
      <c r="T64" s="371" t="str">
        <f>IF($A$2="EU",'Master EU'!F83,"")</f>
        <v/>
      </c>
      <c r="U64" s="371" t="str">
        <f>IF($A$2="EU",'Master EU'!G83,"")</f>
        <v/>
      </c>
      <c r="V64" s="371" t="str">
        <f>IF($A$2="EU",'Master EU'!H83,"")</f>
        <v/>
      </c>
      <c r="W64" s="371" t="str">
        <f>IF($A$2="EU",'Master EU'!I83,"")</f>
        <v/>
      </c>
      <c r="X64" s="372"/>
      <c r="Y64" s="201"/>
      <c r="AB64" s="438"/>
      <c r="AC64" s="439"/>
    </row>
    <row r="65" spans="1:29" ht="17" thickBot="1" x14ac:dyDescent="0.25">
      <c r="P65" s="371" t="str">
        <f>IF($A$2="EU",'Master EU'!B84,"")</f>
        <v>Burst</v>
      </c>
      <c r="R65" s="371">
        <f>IF($A$2="EU",'Master EU'!D84,"")</f>
        <v>19.2</v>
      </c>
      <c r="S65" s="371" t="str">
        <f>IF($A$2="EU",'Master EU'!E84,"")</f>
        <v>A RMS</v>
      </c>
      <c r="T65" s="371" t="str">
        <f>IF($A$2="EU",'Master EU'!F84,"")</f>
        <v/>
      </c>
      <c r="U65" s="371" t="str">
        <f>IF($A$2="EU",'Master EU'!G84,"")</f>
        <v/>
      </c>
      <c r="V65" s="371" t="str">
        <f>IF($A$2="EU",'Master EU'!H84,"")</f>
        <v/>
      </c>
      <c r="W65" s="371" t="str">
        <f>IF($A$2="EU",'Master EU'!I84,"")</f>
        <v/>
      </c>
      <c r="X65" s="432">
        <f>IF($A$2="EU",'Master EU'!J84,"")</f>
        <v>0</v>
      </c>
      <c r="Y65" s="433"/>
      <c r="AB65" s="438"/>
      <c r="AC65" s="439"/>
    </row>
    <row r="66" spans="1:29" ht="16" customHeight="1" x14ac:dyDescent="0.2">
      <c r="A66" s="414" t="s">
        <v>6</v>
      </c>
      <c r="B66" s="415"/>
      <c r="C66" s="415"/>
      <c r="D66" s="415"/>
      <c r="E66" s="415"/>
      <c r="F66" s="415"/>
      <c r="G66" s="415"/>
      <c r="H66" s="415"/>
      <c r="I66" s="415"/>
      <c r="J66" s="415"/>
      <c r="K66" s="415"/>
      <c r="L66" s="415"/>
      <c r="M66" s="416"/>
      <c r="P66" s="371" t="str">
        <f>IF($A$2="EU",'Master EU'!B85,"")</f>
        <v>Peak</v>
      </c>
      <c r="Q66" s="383"/>
      <c r="R66" s="371">
        <f>IF($A$2="EU",'Master EU'!D85,"")</f>
        <v>19.2</v>
      </c>
      <c r="S66" s="371" t="str">
        <f>IF($A$2="EU",'Master EU'!E85,"")</f>
        <v>A Pk</v>
      </c>
      <c r="T66" s="371" t="str">
        <f>IF($A$2="EU",'Master EU'!F85,"")</f>
        <v/>
      </c>
      <c r="U66" s="371" t="str">
        <f>IF($A$2="EU",'Master EU'!G85,"")</f>
        <v/>
      </c>
      <c r="V66" s="371" t="str">
        <f>IF($A$2="EU",'Master EU'!H85,"")</f>
        <v/>
      </c>
      <c r="W66" s="371" t="str">
        <f>IF($A$2="EU",'Master EU'!I85,"")</f>
        <v/>
      </c>
      <c r="X66" s="434"/>
      <c r="Y66" s="435"/>
      <c r="Z66" s="383"/>
      <c r="AA66" s="383"/>
      <c r="AB66" s="440"/>
      <c r="AC66" s="441"/>
    </row>
    <row r="67" spans="1:29" ht="16" customHeight="1" thickBot="1" x14ac:dyDescent="0.25">
      <c r="A67" s="417"/>
      <c r="B67" s="418"/>
      <c r="C67" s="418"/>
      <c r="D67" s="418"/>
      <c r="E67" s="418"/>
      <c r="F67" s="418"/>
      <c r="G67" s="418"/>
      <c r="H67" s="418"/>
      <c r="I67" s="418"/>
      <c r="J67" s="418"/>
      <c r="K67" s="418"/>
      <c r="L67" s="418"/>
      <c r="M67" s="419"/>
      <c r="X67" s="387"/>
      <c r="Y67" s="387"/>
      <c r="AB67" s="388"/>
      <c r="AC67" s="388"/>
    </row>
    <row r="68" spans="1:29" ht="16" customHeight="1" x14ac:dyDescent="0.2">
      <c r="A68" s="408" t="s">
        <v>7</v>
      </c>
      <c r="B68" s="409"/>
      <c r="C68" s="409"/>
      <c r="D68" s="409"/>
      <c r="E68" s="409"/>
      <c r="F68" s="409"/>
      <c r="G68" s="409"/>
      <c r="H68" s="409"/>
      <c r="I68" s="409"/>
      <c r="J68" s="409"/>
      <c r="K68" s="409"/>
      <c r="L68" s="409"/>
      <c r="M68" s="410"/>
      <c r="AB68" s="384"/>
      <c r="AC68" s="384"/>
    </row>
    <row r="69" spans="1:29" ht="16" customHeight="1" x14ac:dyDescent="0.2">
      <c r="A69" s="408"/>
      <c r="B69" s="409"/>
      <c r="C69" s="409"/>
      <c r="D69" s="409"/>
      <c r="E69" s="409"/>
      <c r="F69" s="409"/>
      <c r="G69" s="409"/>
      <c r="H69" s="409"/>
      <c r="I69" s="409"/>
      <c r="J69" s="409"/>
      <c r="K69" s="409"/>
      <c r="L69" s="409"/>
      <c r="M69" s="410"/>
      <c r="P69" s="386" t="str">
        <f>IF($A$2="EU",'Master EU'!B87,"")</f>
        <v>MDM- 832 #5</v>
      </c>
      <c r="AB69" s="384"/>
      <c r="AC69" s="384"/>
    </row>
    <row r="70" spans="1:29" ht="16" customHeight="1" x14ac:dyDescent="0.2">
      <c r="A70" s="408"/>
      <c r="B70" s="409"/>
      <c r="C70" s="409"/>
      <c r="D70" s="409"/>
      <c r="E70" s="409"/>
      <c r="F70" s="409"/>
      <c r="G70" s="409"/>
      <c r="H70" s="409"/>
      <c r="I70" s="409"/>
      <c r="J70" s="409"/>
      <c r="K70" s="409"/>
      <c r="L70" s="409"/>
      <c r="M70" s="410"/>
      <c r="P70" s="371" t="str">
        <f>IF($A$2="EU",'Master EU'!B88,"")</f>
        <v>Inlet</v>
      </c>
      <c r="Q70" s="181"/>
      <c r="R70" s="442" t="str">
        <f>IF($A$2="EU",'Master EU'!D88,"")</f>
        <v/>
      </c>
      <c r="S70" s="443"/>
      <c r="T70" s="442" t="str">
        <f>IF($A$2="EU",'Master EU'!F88,"")</f>
        <v>L2</v>
      </c>
      <c r="U70" s="443"/>
      <c r="V70" s="442" t="str">
        <f>IF($A$2="EU",'Master EU'!H88,"")</f>
        <v/>
      </c>
      <c r="W70" s="443"/>
      <c r="X70" s="442" t="str">
        <f>IF($A$2="EU",'Master EU'!J88,"")</f>
        <v>Amount</v>
      </c>
      <c r="Y70" s="443"/>
      <c r="Z70" s="181"/>
      <c r="AA70" s="181"/>
      <c r="AB70" s="436" t="str">
        <f>IF($A$2="EU",'Master EU'!N88,"")</f>
        <v>O K</v>
      </c>
      <c r="AC70" s="437"/>
    </row>
    <row r="71" spans="1:29" ht="16" customHeight="1" x14ac:dyDescent="0.2">
      <c r="A71" s="408"/>
      <c r="B71" s="409"/>
      <c r="C71" s="409"/>
      <c r="D71" s="409"/>
      <c r="E71" s="409"/>
      <c r="F71" s="409"/>
      <c r="G71" s="409"/>
      <c r="H71" s="409"/>
      <c r="I71" s="409"/>
      <c r="J71" s="409"/>
      <c r="K71" s="409"/>
      <c r="L71" s="409"/>
      <c r="M71" s="410"/>
      <c r="P71" s="371" t="str">
        <f>IF($A$2="EU",'Master EU'!B89,"")</f>
        <v>MLTC + 30%</v>
      </c>
      <c r="R71" s="371" t="str">
        <f>IF($A$2="EU",'Master EU'!D89,"")</f>
        <v/>
      </c>
      <c r="S71" s="371" t="str">
        <f>IF($A$2="EU",'Master EU'!E89,"")</f>
        <v/>
      </c>
      <c r="T71" s="371">
        <f>IF($A$2="EU",'Master EU'!F89,"")</f>
        <v>11.44</v>
      </c>
      <c r="U71" s="371" t="str">
        <f>IF($A$2="EU",'Master EU'!G89,"")</f>
        <v>A RMS</v>
      </c>
      <c r="V71" s="371" t="str">
        <f>IF($A$2="EU",'Master EU'!H89,"")</f>
        <v/>
      </c>
      <c r="W71" s="371" t="str">
        <f>IF($A$2="EU",'Master EU'!I89,"")</f>
        <v/>
      </c>
      <c r="X71" s="372"/>
      <c r="Y71" s="201"/>
      <c r="AB71" s="438"/>
      <c r="AC71" s="439"/>
    </row>
    <row r="72" spans="1:29" ht="16" customHeight="1" x14ac:dyDescent="0.2">
      <c r="A72" s="408"/>
      <c r="B72" s="409"/>
      <c r="C72" s="409"/>
      <c r="D72" s="409"/>
      <c r="E72" s="409"/>
      <c r="F72" s="409"/>
      <c r="G72" s="409"/>
      <c r="H72" s="409"/>
      <c r="I72" s="409"/>
      <c r="J72" s="409"/>
      <c r="K72" s="409"/>
      <c r="L72" s="409"/>
      <c r="M72" s="410"/>
      <c r="P72" s="371" t="str">
        <f>IF($A$2="EU",'Master EU'!B90,"")</f>
        <v>Burst</v>
      </c>
      <c r="R72" s="371" t="str">
        <f>IF($A$2="EU",'Master EU'!D90,"")</f>
        <v/>
      </c>
      <c r="S72" s="371" t="str">
        <f>IF($A$2="EU",'Master EU'!E90,"")</f>
        <v/>
      </c>
      <c r="T72" s="371">
        <f>IF($A$2="EU",'Master EU'!F90,"")</f>
        <v>19.2</v>
      </c>
      <c r="U72" s="371" t="str">
        <f>IF($A$2="EU",'Master EU'!G90,"")</f>
        <v>A RMS</v>
      </c>
      <c r="V72" s="371" t="str">
        <f>IF($A$2="EU",'Master EU'!H90,"")</f>
        <v/>
      </c>
      <c r="W72" s="371" t="str">
        <f>IF($A$2="EU",'Master EU'!I90,"")</f>
        <v/>
      </c>
      <c r="X72" s="432">
        <f>IF($A$2="EU",'Master EU'!J90,"")</f>
        <v>0</v>
      </c>
      <c r="Y72" s="433"/>
      <c r="AB72" s="438"/>
      <c r="AC72" s="439"/>
    </row>
    <row r="73" spans="1:29" ht="16" customHeight="1" x14ac:dyDescent="0.2">
      <c r="A73" s="408"/>
      <c r="B73" s="409"/>
      <c r="C73" s="409"/>
      <c r="D73" s="409"/>
      <c r="E73" s="409"/>
      <c r="F73" s="409"/>
      <c r="G73" s="409"/>
      <c r="H73" s="409"/>
      <c r="I73" s="409"/>
      <c r="J73" s="409"/>
      <c r="K73" s="409"/>
      <c r="L73" s="409"/>
      <c r="M73" s="410"/>
      <c r="P73" s="371" t="str">
        <f>IF($A$2="EU",'Master EU'!B91,"")</f>
        <v>Peak</v>
      </c>
      <c r="Q73" s="383"/>
      <c r="R73" s="371" t="str">
        <f>IF($A$2="EU",'Master EU'!D91,"")</f>
        <v/>
      </c>
      <c r="S73" s="371" t="str">
        <f>IF($A$2="EU",'Master EU'!E91,"")</f>
        <v/>
      </c>
      <c r="T73" s="371">
        <f>IF($A$2="EU",'Master EU'!F91,"")</f>
        <v>19.2</v>
      </c>
      <c r="U73" s="371" t="str">
        <f>IF($A$2="EU",'Master EU'!G91,"")</f>
        <v>A Pk</v>
      </c>
      <c r="V73" s="371" t="str">
        <f>IF($A$2="EU",'Master EU'!H91,"")</f>
        <v/>
      </c>
      <c r="W73" s="371" t="str">
        <f>IF($A$2="EU",'Master EU'!I91,"")</f>
        <v/>
      </c>
      <c r="X73" s="434"/>
      <c r="Y73" s="435"/>
      <c r="Z73" s="383"/>
      <c r="AA73" s="383"/>
      <c r="AB73" s="440"/>
      <c r="AC73" s="441"/>
    </row>
    <row r="74" spans="1:29" ht="16" customHeight="1" x14ac:dyDescent="0.2">
      <c r="A74" s="408"/>
      <c r="B74" s="409"/>
      <c r="C74" s="409"/>
      <c r="D74" s="409"/>
      <c r="E74" s="409"/>
      <c r="F74" s="409"/>
      <c r="G74" s="409"/>
      <c r="H74" s="409"/>
      <c r="I74" s="409"/>
      <c r="J74" s="409"/>
      <c r="K74" s="409"/>
      <c r="L74" s="409"/>
      <c r="M74" s="410"/>
      <c r="AB74" s="384"/>
      <c r="AC74" s="384"/>
    </row>
    <row r="75" spans="1:29" ht="16" customHeight="1" x14ac:dyDescent="0.2">
      <c r="A75" s="408"/>
      <c r="B75" s="409"/>
      <c r="C75" s="409"/>
      <c r="D75" s="409"/>
      <c r="E75" s="409"/>
      <c r="F75" s="409"/>
      <c r="G75" s="409"/>
      <c r="H75" s="409"/>
      <c r="I75" s="409"/>
      <c r="J75" s="409"/>
      <c r="K75" s="409"/>
      <c r="L75" s="409"/>
      <c r="M75" s="410"/>
      <c r="P75" s="386" t="str">
        <f>IF($A$2="EU",'Master EU'!B93,"")</f>
        <v>MDM- 832 #6</v>
      </c>
      <c r="AB75" s="384"/>
      <c r="AC75" s="384"/>
    </row>
    <row r="76" spans="1:29" ht="16" customHeight="1" x14ac:dyDescent="0.2">
      <c r="A76" s="408"/>
      <c r="B76" s="409"/>
      <c r="C76" s="409"/>
      <c r="D76" s="409"/>
      <c r="E76" s="409"/>
      <c r="F76" s="409"/>
      <c r="G76" s="409"/>
      <c r="H76" s="409"/>
      <c r="I76" s="409"/>
      <c r="J76" s="409"/>
      <c r="K76" s="409"/>
      <c r="L76" s="409"/>
      <c r="M76" s="410"/>
      <c r="P76" s="371" t="str">
        <f>IF($A$2="EU",'Master EU'!B94,"")</f>
        <v>Inlet</v>
      </c>
      <c r="Q76" s="181"/>
      <c r="R76" s="442" t="str">
        <f>IF($A$2="EU",'Master EU'!D94,"")</f>
        <v/>
      </c>
      <c r="S76" s="443"/>
      <c r="T76" s="442" t="str">
        <f>IF($A$2="EU",'Master EU'!F94,"")</f>
        <v/>
      </c>
      <c r="U76" s="443"/>
      <c r="V76" s="442" t="str">
        <f>IF($A$2="EU",'Master EU'!H94,"")</f>
        <v>L3</v>
      </c>
      <c r="W76" s="443"/>
      <c r="X76" s="442" t="str">
        <f>IF($A$2="EU",'Master EU'!J94,"")</f>
        <v>Amount</v>
      </c>
      <c r="Y76" s="443"/>
      <c r="Z76" s="181"/>
      <c r="AA76" s="181"/>
      <c r="AB76" s="436" t="str">
        <f>IF($A$2="EU",'Master EU'!N94,"")</f>
        <v>O K</v>
      </c>
      <c r="AC76" s="437"/>
    </row>
    <row r="77" spans="1:29" ht="16" customHeight="1" x14ac:dyDescent="0.2">
      <c r="A77" s="408"/>
      <c r="B77" s="409"/>
      <c r="C77" s="409"/>
      <c r="D77" s="409"/>
      <c r="E77" s="409"/>
      <c r="F77" s="409"/>
      <c r="G77" s="409"/>
      <c r="H77" s="409"/>
      <c r="I77" s="409"/>
      <c r="J77" s="409"/>
      <c r="K77" s="409"/>
      <c r="L77" s="409"/>
      <c r="M77" s="410"/>
      <c r="P77" s="371" t="str">
        <f>IF($A$2="EU",'Master EU'!B95,"")</f>
        <v>MLTC + 30%</v>
      </c>
      <c r="R77" s="371" t="str">
        <f>IF($A$2="EU",'Master EU'!D95,"")</f>
        <v/>
      </c>
      <c r="S77" s="371" t="str">
        <f>IF($A$2="EU",'Master EU'!E95,"")</f>
        <v/>
      </c>
      <c r="T77" s="371" t="str">
        <f>IF($A$2="EU",'Master EU'!F95,"")</f>
        <v/>
      </c>
      <c r="U77" s="371" t="str">
        <f>IF($A$2="EU",'Master EU'!G95,"")</f>
        <v/>
      </c>
      <c r="V77" s="371">
        <f>IF($A$2="EU",'Master EU'!H95,"")</f>
        <v>11.44</v>
      </c>
      <c r="W77" s="371" t="str">
        <f>IF($A$2="EU",'Master EU'!I95,"")</f>
        <v>A RMS</v>
      </c>
      <c r="X77" s="372"/>
      <c r="Y77" s="201"/>
      <c r="AB77" s="438"/>
      <c r="AC77" s="439"/>
    </row>
    <row r="78" spans="1:29" ht="16" customHeight="1" x14ac:dyDescent="0.2">
      <c r="A78" s="408"/>
      <c r="B78" s="409"/>
      <c r="C78" s="409"/>
      <c r="D78" s="409"/>
      <c r="E78" s="409"/>
      <c r="F78" s="409"/>
      <c r="G78" s="409"/>
      <c r="H78" s="409"/>
      <c r="I78" s="409"/>
      <c r="J78" s="409"/>
      <c r="K78" s="409"/>
      <c r="L78" s="409"/>
      <c r="M78" s="410"/>
      <c r="P78" s="371" t="str">
        <f>IF($A$2="EU",'Master EU'!B96,"")</f>
        <v>Burst</v>
      </c>
      <c r="R78" s="371" t="str">
        <f>IF($A$2="EU",'Master EU'!D96,"")</f>
        <v/>
      </c>
      <c r="S78" s="371" t="str">
        <f>IF($A$2="EU",'Master EU'!E96,"")</f>
        <v/>
      </c>
      <c r="T78" s="371" t="str">
        <f>IF($A$2="EU",'Master EU'!F96,"")</f>
        <v/>
      </c>
      <c r="U78" s="371" t="str">
        <f>IF($A$2="EU",'Master EU'!G96,"")</f>
        <v/>
      </c>
      <c r="V78" s="371">
        <f>IF($A$2="EU",'Master EU'!H96,"")</f>
        <v>19.2</v>
      </c>
      <c r="W78" s="371" t="str">
        <f>IF($A$2="EU",'Master EU'!I96,"")</f>
        <v>A RMS</v>
      </c>
      <c r="X78" s="432">
        <f>IF($A$2="EU",'Master EU'!J96,"")</f>
        <v>0</v>
      </c>
      <c r="Y78" s="433"/>
      <c r="AB78" s="438"/>
      <c r="AC78" s="439"/>
    </row>
    <row r="79" spans="1:29" ht="16" customHeight="1" x14ac:dyDescent="0.2">
      <c r="A79" s="408"/>
      <c r="B79" s="409"/>
      <c r="C79" s="409"/>
      <c r="D79" s="409"/>
      <c r="E79" s="409"/>
      <c r="F79" s="409"/>
      <c r="G79" s="409"/>
      <c r="H79" s="409"/>
      <c r="I79" s="409"/>
      <c r="J79" s="409"/>
      <c r="K79" s="409"/>
      <c r="L79" s="409"/>
      <c r="M79" s="410"/>
      <c r="P79" s="371" t="str">
        <f>IF($A$2="EU",'Master EU'!B97,"")</f>
        <v>Peak</v>
      </c>
      <c r="Q79" s="383"/>
      <c r="R79" s="371" t="str">
        <f>IF($A$2="EU",'Master EU'!D97,"")</f>
        <v/>
      </c>
      <c r="S79" s="371" t="str">
        <f>IF($A$2="EU",'Master EU'!E97,"")</f>
        <v/>
      </c>
      <c r="T79" s="371" t="str">
        <f>IF($A$2="EU",'Master EU'!F97,"")</f>
        <v/>
      </c>
      <c r="U79" s="371" t="str">
        <f>IF($A$2="EU",'Master EU'!G97,"")</f>
        <v/>
      </c>
      <c r="V79" s="371">
        <f>IF($A$2="EU",'Master EU'!H97,"")</f>
        <v>19.2</v>
      </c>
      <c r="W79" s="371" t="str">
        <f>IF($A$2="EU",'Master EU'!I97,"")</f>
        <v>A Pk</v>
      </c>
      <c r="X79" s="434"/>
      <c r="Y79" s="435"/>
      <c r="Z79" s="383"/>
      <c r="AA79" s="383"/>
      <c r="AB79" s="440"/>
      <c r="AC79" s="441"/>
    </row>
    <row r="80" spans="1:29" ht="16" customHeight="1" x14ac:dyDescent="0.2">
      <c r="A80" s="408"/>
      <c r="B80" s="409"/>
      <c r="C80" s="409"/>
      <c r="D80" s="409"/>
      <c r="E80" s="409"/>
      <c r="F80" s="409"/>
      <c r="G80" s="409"/>
      <c r="H80" s="409"/>
      <c r="I80" s="409"/>
      <c r="J80" s="409"/>
      <c r="K80" s="409"/>
      <c r="L80" s="409"/>
      <c r="M80" s="410"/>
    </row>
    <row r="81" spans="1:29" ht="16" customHeight="1" x14ac:dyDescent="0.2">
      <c r="A81" s="408"/>
      <c r="B81" s="409"/>
      <c r="C81" s="409"/>
      <c r="D81" s="409"/>
      <c r="E81" s="409"/>
      <c r="F81" s="409"/>
      <c r="G81" s="409"/>
      <c r="H81" s="409"/>
      <c r="I81" s="409"/>
      <c r="J81" s="409"/>
      <c r="K81" s="409"/>
      <c r="L81" s="409"/>
      <c r="M81" s="410"/>
    </row>
    <row r="82" spans="1:29" x14ac:dyDescent="0.2">
      <c r="A82" s="411"/>
      <c r="B82" s="412"/>
      <c r="C82" s="412"/>
      <c r="D82" s="412"/>
      <c r="E82" s="412"/>
      <c r="F82" s="412"/>
      <c r="G82" s="412"/>
      <c r="H82" s="412"/>
      <c r="I82" s="412"/>
      <c r="J82" s="412"/>
      <c r="K82" s="412"/>
      <c r="L82" s="412"/>
      <c r="M82" s="413"/>
      <c r="P82" t="str">
        <f>Data!G1</f>
        <v>© 2021</v>
      </c>
    </row>
    <row r="83" spans="1:29" x14ac:dyDescent="0.2">
      <c r="A83" t="str">
        <f>Data!T1</f>
        <v>Meyer Sound Laboratories, Inc. Berkeley, California, USA                                 www.meyersound.com</v>
      </c>
      <c r="P83" t="str">
        <f>Data!T1</f>
        <v>Meyer Sound Laboratories, Inc. Berkeley, California, USA                                 www.meyersound.com</v>
      </c>
      <c r="AC83" s="88" t="str">
        <f>Data!M1</f>
        <v>06.257.005.01 C</v>
      </c>
    </row>
  </sheetData>
  <sheetProtection algorithmName="SHA-512" hashValue="14gCpA+N3J/hy3LVuhTkrTRoy2b1AbWXbdScX0LhOQUup0YrsTFyuaCnsZaGlj+1/bVgE9HH5/E2uisxeNtuFQ==" saltValue="Cl1RyuV5kUgWAUQYNOJ1jA==" spinCount="100000" sheet="1" objects="1" scenarios="1"/>
  <mergeCells count="108">
    <mergeCell ref="Q32:Q33"/>
    <mergeCell ref="AB7:AC7"/>
    <mergeCell ref="AB12:AC12"/>
    <mergeCell ref="R32:S32"/>
    <mergeCell ref="T32:U32"/>
    <mergeCell ref="V32:W32"/>
    <mergeCell ref="X32:Y32"/>
    <mergeCell ref="Z32:AA32"/>
    <mergeCell ref="AB32:AC32"/>
    <mergeCell ref="T22:U22"/>
    <mergeCell ref="V22:W22"/>
    <mergeCell ref="X22:Y22"/>
    <mergeCell ref="Z22:AA22"/>
    <mergeCell ref="AB22:AC22"/>
    <mergeCell ref="R27:S27"/>
    <mergeCell ref="T27:U27"/>
    <mergeCell ref="V27:W27"/>
    <mergeCell ref="X27:Y27"/>
    <mergeCell ref="Z27:AA27"/>
    <mergeCell ref="AB17:AC17"/>
    <mergeCell ref="R12:S12"/>
    <mergeCell ref="T12:U12"/>
    <mergeCell ref="V12:W12"/>
    <mergeCell ref="X12:Y12"/>
    <mergeCell ref="Z12:AA12"/>
    <mergeCell ref="P4:P5"/>
    <mergeCell ref="Q4:AC5"/>
    <mergeCell ref="AB27:AC27"/>
    <mergeCell ref="Q22:Q23"/>
    <mergeCell ref="Q27:Q28"/>
    <mergeCell ref="R7:S7"/>
    <mergeCell ref="R22:S22"/>
    <mergeCell ref="Q7:Q8"/>
    <mergeCell ref="Q12:Q13"/>
    <mergeCell ref="Q17:Q18"/>
    <mergeCell ref="T7:U7"/>
    <mergeCell ref="V7:W7"/>
    <mergeCell ref="X7:Y7"/>
    <mergeCell ref="Z7:AA7"/>
    <mergeCell ref="R17:S17"/>
    <mergeCell ref="T17:U17"/>
    <mergeCell ref="V17:W17"/>
    <mergeCell ref="X17:Y17"/>
    <mergeCell ref="Z17:AA17"/>
    <mergeCell ref="A26:B27"/>
    <mergeCell ref="A4:H5"/>
    <mergeCell ref="I4:M5"/>
    <mergeCell ref="A21:H22"/>
    <mergeCell ref="I21:I22"/>
    <mergeCell ref="K21:K22"/>
    <mergeCell ref="M21:M22"/>
    <mergeCell ref="C24:E24"/>
    <mergeCell ref="F24:H24"/>
    <mergeCell ref="I24:K24"/>
    <mergeCell ref="A25:B25"/>
    <mergeCell ref="B7:B12"/>
    <mergeCell ref="C8:E8"/>
    <mergeCell ref="F8:H8"/>
    <mergeCell ref="I8:K8"/>
    <mergeCell ref="M8:M9"/>
    <mergeCell ref="L21:L22"/>
    <mergeCell ref="J21:J22"/>
    <mergeCell ref="M26:M27"/>
    <mergeCell ref="P41:P42"/>
    <mergeCell ref="Q41:AC42"/>
    <mergeCell ref="X45:Y45"/>
    <mergeCell ref="R70:S70"/>
    <mergeCell ref="T70:U70"/>
    <mergeCell ref="V70:W70"/>
    <mergeCell ref="R76:S76"/>
    <mergeCell ref="T76:U76"/>
    <mergeCell ref="V76:W76"/>
    <mergeCell ref="R57:S57"/>
    <mergeCell ref="T57:U57"/>
    <mergeCell ref="V57:W57"/>
    <mergeCell ref="R63:S63"/>
    <mergeCell ref="T63:U63"/>
    <mergeCell ref="V63:W63"/>
    <mergeCell ref="R45:S45"/>
    <mergeCell ref="T45:U45"/>
    <mergeCell ref="V45:W45"/>
    <mergeCell ref="R51:S51"/>
    <mergeCell ref="T51:U51"/>
    <mergeCell ref="V51:W51"/>
    <mergeCell ref="A68:M82"/>
    <mergeCell ref="A66:M67"/>
    <mergeCell ref="A48:M49"/>
    <mergeCell ref="A51:M58"/>
    <mergeCell ref="A60:M64"/>
    <mergeCell ref="A40:M41"/>
    <mergeCell ref="A43:M46"/>
    <mergeCell ref="X78:Y79"/>
    <mergeCell ref="AB45:AC48"/>
    <mergeCell ref="AB51:AC54"/>
    <mergeCell ref="AB57:AC60"/>
    <mergeCell ref="AB63:AC66"/>
    <mergeCell ref="AB70:AC73"/>
    <mergeCell ref="AB76:AC79"/>
    <mergeCell ref="X47:Y48"/>
    <mergeCell ref="X53:Y54"/>
    <mergeCell ref="X59:Y60"/>
    <mergeCell ref="X65:Y66"/>
    <mergeCell ref="X51:Y51"/>
    <mergeCell ref="X57:Y57"/>
    <mergeCell ref="X63:Y63"/>
    <mergeCell ref="X70:Y70"/>
    <mergeCell ref="X76:Y76"/>
    <mergeCell ref="X72:Y73"/>
  </mergeCells>
  <phoneticPr fontId="5" type="noConversion"/>
  <conditionalFormatting sqref="X9 X14 X19 X24 X29 X34">
    <cfRule type="expression" dxfId="234" priority="3">
      <formula>$A$2="EU"</formula>
    </cfRule>
  </conditionalFormatting>
  <conditionalFormatting sqref="O40:AD82">
    <cfRule type="expression" dxfId="233" priority="2">
      <formula>$A$2="US"</formula>
    </cfRule>
  </conditionalFormatting>
  <conditionalFormatting sqref="Q9:Q10 Q14:Q15 Q19:Q20 Q24:Q25 Q29:Q30 Q34:Q35">
    <cfRule type="expression" dxfId="232" priority="1">
      <formula>$A$2="US"</formula>
    </cfRule>
  </conditionalFormatting>
  <printOptions horizontalCentered="1" verticalCentered="1"/>
  <pageMargins left="0.7" right="0.7" top="0.75" bottom="0.75" header="0.3" footer="0.3"/>
  <pageSetup paperSize="9" scale="65" orientation="portrait" horizontalDpi="0" verticalDpi="0"/>
  <rowBreaks count="2" manualBreakCount="2">
    <brk id="38" max="16383" man="1"/>
    <brk id="83" max="16383" man="1"/>
  </rowBreaks>
  <colBreaks count="2" manualBreakCount="2">
    <brk id="14" max="1048575" man="1"/>
    <brk id="30"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Data!$AB$62:$AB$63</xm:f>
          </x14:formula1>
          <xm:sqref>A2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249977111117893"/>
  </sheetPr>
  <dimension ref="A1:AE98"/>
  <sheetViews>
    <sheetView showGridLines="0" workbookViewId="0">
      <selection activeCell="C7" sqref="C7"/>
    </sheetView>
  </sheetViews>
  <sheetFormatPr baseColWidth="10" defaultColWidth="0" defaultRowHeight="16" zeroHeight="1" x14ac:dyDescent="0.2"/>
  <cols>
    <col min="1" max="1" width="2.83203125" customWidth="1"/>
    <col min="2" max="2" width="18.1640625" bestFit="1" customWidth="1"/>
    <col min="3" max="3" width="5.83203125" customWidth="1"/>
    <col min="4" max="4" width="11.33203125" bestFit="1" customWidth="1"/>
    <col min="5" max="5" width="5.6640625" customWidth="1"/>
    <col min="6" max="6" width="2" customWidth="1"/>
    <col min="7" max="7" width="10.33203125" style="269" customWidth="1"/>
    <col min="8" max="8" width="6.1640625" style="270" customWidth="1"/>
    <col min="9" max="9" width="2" customWidth="1"/>
    <col min="10" max="10" width="10.33203125" style="269" customWidth="1"/>
    <col min="11" max="11" width="6.1640625" style="270" customWidth="1"/>
    <col min="12" max="12" width="2" customWidth="1"/>
    <col min="13" max="13" width="10.33203125" style="269" customWidth="1"/>
    <col min="14" max="14" width="6.1640625" style="270" customWidth="1"/>
    <col min="15" max="15" width="2.6640625" style="270" customWidth="1"/>
    <col min="16" max="16" width="13" style="281" bestFit="1" customWidth="1"/>
    <col min="17" max="17" width="10.1640625" style="270" customWidth="1"/>
    <col min="18" max="18" width="2.6640625" customWidth="1"/>
    <col min="19" max="19" width="16.33203125" style="304" customWidth="1"/>
    <col min="20" max="20" width="3" style="305" customWidth="1"/>
    <col min="21" max="21" width="2" style="303" hidden="1" customWidth="1"/>
    <col min="22" max="22" width="7.6640625" style="304" hidden="1" customWidth="1"/>
    <col min="23" max="23" width="6.1640625" style="305" hidden="1" customWidth="1"/>
    <col min="24" max="24" width="2" style="303" hidden="1" customWidth="1"/>
    <col min="25" max="25" width="7.6640625" style="304" hidden="1" customWidth="1"/>
    <col min="26" max="26" width="6.1640625" style="305" hidden="1" customWidth="1"/>
    <col min="27" max="27" width="10.83203125" style="303" hidden="1" customWidth="1"/>
    <col min="28" max="16384" width="10.83203125" hidden="1"/>
  </cols>
  <sheetData>
    <row r="1" spans="1:31" x14ac:dyDescent="0.2">
      <c r="A1" s="71"/>
      <c r="B1" s="167" t="str">
        <f>Data!$T$1</f>
        <v>Meyer Sound Laboratories, Inc. Berkeley, California, USA                                 www.meyersound.com</v>
      </c>
      <c r="C1" s="147"/>
      <c r="D1" s="147"/>
      <c r="E1" s="147"/>
      <c r="F1" s="147"/>
      <c r="G1" s="147"/>
      <c r="H1" s="147"/>
      <c r="I1" s="147"/>
      <c r="J1" s="147"/>
      <c r="K1" s="147"/>
      <c r="L1" s="147"/>
      <c r="M1" s="147"/>
      <c r="N1" s="147"/>
      <c r="O1" s="44"/>
      <c r="P1" s="390" t="str">
        <f>Data!$G$1</f>
        <v>© 2021</v>
      </c>
      <c r="Q1" s="280"/>
      <c r="R1" s="280"/>
      <c r="S1" s="280"/>
      <c r="T1" s="170" t="str">
        <f>Data!$M$1</f>
        <v>06.257.005.01 C</v>
      </c>
    </row>
    <row r="2" spans="1:31" x14ac:dyDescent="0.2">
      <c r="A2" s="1"/>
      <c r="B2" s="1"/>
      <c r="C2" s="1"/>
      <c r="D2" s="1"/>
      <c r="E2" s="1"/>
      <c r="F2" s="1"/>
      <c r="G2" s="248"/>
      <c r="H2" s="44"/>
      <c r="I2" s="1"/>
      <c r="J2" s="248"/>
      <c r="K2" s="44"/>
      <c r="L2" s="1"/>
      <c r="M2" s="248"/>
      <c r="N2" s="44"/>
      <c r="O2" s="44"/>
      <c r="P2" s="44"/>
      <c r="Q2" s="44"/>
      <c r="R2" s="1"/>
      <c r="S2" s="288"/>
      <c r="T2" s="289"/>
      <c r="U2" s="287"/>
      <c r="V2" s="288"/>
      <c r="W2" s="289"/>
      <c r="X2" s="287"/>
      <c r="Y2" s="288"/>
      <c r="Z2" s="289"/>
      <c r="AA2" s="287"/>
    </row>
    <row r="3" spans="1:31" ht="37" x14ac:dyDescent="0.45">
      <c r="A3" s="71"/>
      <c r="B3" s="492" t="s">
        <v>105</v>
      </c>
      <c r="C3" s="492"/>
      <c r="D3" s="492"/>
      <c r="E3" s="492"/>
      <c r="F3" s="71"/>
      <c r="G3" s="493">
        <v>230</v>
      </c>
      <c r="H3" s="493"/>
      <c r="I3" s="493"/>
      <c r="J3" s="493"/>
      <c r="K3" s="493"/>
      <c r="L3" s="494" t="s">
        <v>106</v>
      </c>
      <c r="M3" s="495"/>
      <c r="N3" s="496"/>
      <c r="O3" s="272"/>
      <c r="P3" s="279">
        <v>2.5</v>
      </c>
      <c r="Q3" s="278" t="s">
        <v>107</v>
      </c>
      <c r="R3" s="249"/>
      <c r="S3" s="497"/>
      <c r="T3" s="497"/>
      <c r="U3" s="497"/>
      <c r="V3" s="497"/>
      <c r="W3" s="497"/>
      <c r="X3" s="491"/>
      <c r="Y3" s="491"/>
      <c r="Z3" s="491"/>
      <c r="AA3" s="287"/>
      <c r="AB3" s="250"/>
    </row>
    <row r="4" spans="1:31" ht="26" x14ac:dyDescent="0.3">
      <c r="A4" s="71"/>
      <c r="B4" s="329">
        <f>(G3*J7)/1000</f>
        <v>0.44850000000000001</v>
      </c>
      <c r="C4" s="330" t="s">
        <v>108</v>
      </c>
      <c r="D4" s="404"/>
      <c r="E4" s="71"/>
      <c r="F4" s="71"/>
      <c r="G4" s="251"/>
      <c r="H4" s="252"/>
      <c r="I4" s="71"/>
      <c r="J4" s="251"/>
      <c r="K4" s="252"/>
      <c r="L4" s="71"/>
      <c r="M4" s="251"/>
      <c r="N4" s="252"/>
      <c r="O4" s="252"/>
      <c r="P4" s="252"/>
      <c r="Q4" s="252"/>
      <c r="R4" s="71"/>
      <c r="S4" s="288"/>
      <c r="T4" s="289"/>
      <c r="U4" s="287"/>
      <c r="V4" s="288"/>
      <c r="W4" s="289"/>
      <c r="X4" s="287"/>
      <c r="Y4" s="288"/>
      <c r="Z4" s="289"/>
      <c r="AA4" s="287"/>
    </row>
    <row r="5" spans="1:31" ht="24" x14ac:dyDescent="0.3">
      <c r="A5" s="71"/>
      <c r="B5" s="1"/>
      <c r="C5" s="1"/>
      <c r="D5" s="1"/>
      <c r="E5" s="71"/>
      <c r="F5" s="71"/>
      <c r="G5" s="487" t="s">
        <v>109</v>
      </c>
      <c r="H5" s="487"/>
      <c r="I5" s="253"/>
      <c r="J5" s="488" t="s">
        <v>110</v>
      </c>
      <c r="K5" s="488"/>
      <c r="L5" s="253"/>
      <c r="M5" s="488" t="s">
        <v>111</v>
      </c>
      <c r="N5" s="488"/>
      <c r="O5" s="255"/>
      <c r="P5" s="488" t="s">
        <v>112</v>
      </c>
      <c r="Q5" s="488"/>
      <c r="R5" s="253"/>
      <c r="S5" s="324" t="s">
        <v>113</v>
      </c>
      <c r="T5" s="253"/>
      <c r="U5" s="290"/>
      <c r="V5" s="485"/>
      <c r="W5" s="485"/>
      <c r="X5" s="290"/>
      <c r="Y5" s="485"/>
      <c r="Z5" s="485"/>
      <c r="AA5" s="287"/>
    </row>
    <row r="6" spans="1:31" ht="25" thickBot="1" x14ac:dyDescent="0.35">
      <c r="A6" s="71"/>
      <c r="B6" s="1"/>
      <c r="C6" s="1"/>
      <c r="D6" s="1"/>
      <c r="E6" s="71"/>
      <c r="F6" s="71"/>
      <c r="G6" s="254"/>
      <c r="H6" s="254"/>
      <c r="I6" s="253"/>
      <c r="J6" s="255"/>
      <c r="K6" s="255"/>
      <c r="L6" s="253"/>
      <c r="M6" s="255"/>
      <c r="N6" s="255"/>
      <c r="O6" s="255"/>
      <c r="P6" s="255"/>
      <c r="Q6" s="255"/>
      <c r="R6" s="253"/>
      <c r="S6" s="489" t="s">
        <v>114</v>
      </c>
      <c r="T6" s="291"/>
      <c r="U6" s="290"/>
      <c r="V6" s="291"/>
      <c r="W6" s="291"/>
      <c r="X6" s="290"/>
      <c r="Y6" s="291"/>
      <c r="Z6" s="291"/>
      <c r="AA6" s="287"/>
    </row>
    <row r="7" spans="1:31" ht="23" customHeight="1" thickTop="1" thickBot="1" x14ac:dyDescent="0.3">
      <c r="A7" s="71"/>
      <c r="B7" s="256" t="s">
        <v>115</v>
      </c>
      <c r="C7" s="271">
        <v>0.3</v>
      </c>
      <c r="D7" s="71"/>
      <c r="E7" s="71"/>
      <c r="F7" s="71"/>
      <c r="G7" s="398">
        <f>SUM(G11:G40)+(C7*SUM(G11:G40))</f>
        <v>1.3</v>
      </c>
      <c r="H7" s="258" t="s">
        <v>116</v>
      </c>
      <c r="I7" s="259"/>
      <c r="J7" s="398">
        <f>SUM(J11:J40)+(C7*SUM(J11:J40))</f>
        <v>1.95</v>
      </c>
      <c r="K7" s="258" t="s">
        <v>116</v>
      </c>
      <c r="L7" s="259"/>
      <c r="M7" s="398">
        <f>SUM(M11:M40)+(C7*SUM(M11:M40))</f>
        <v>4.42</v>
      </c>
      <c r="N7" s="258" t="s">
        <v>117</v>
      </c>
      <c r="O7" s="273"/>
      <c r="P7" s="486" t="s">
        <v>118</v>
      </c>
      <c r="Q7" s="486"/>
      <c r="R7" s="71"/>
      <c r="S7" s="490"/>
      <c r="T7" s="293"/>
      <c r="U7" s="294"/>
      <c r="V7" s="292"/>
      <c r="W7" s="293"/>
      <c r="X7" s="294"/>
      <c r="Y7" s="292"/>
      <c r="Z7" s="293"/>
      <c r="AA7" s="287"/>
    </row>
    <row r="8" spans="1:31" ht="21" thickTop="1" thickBot="1" x14ac:dyDescent="0.3">
      <c r="A8" s="71"/>
      <c r="B8" s="71"/>
      <c r="C8" s="71"/>
      <c r="D8" s="71"/>
      <c r="E8" s="71"/>
      <c r="F8" s="71"/>
      <c r="G8" s="260"/>
      <c r="H8" s="261"/>
      <c r="I8" s="76"/>
      <c r="J8" s="260"/>
      <c r="K8" s="261"/>
      <c r="L8" s="76"/>
      <c r="M8" s="260"/>
      <c r="N8" s="261"/>
      <c r="O8" s="261"/>
      <c r="P8" s="261"/>
      <c r="Q8" s="261"/>
      <c r="R8" s="71"/>
      <c r="S8" s="336"/>
      <c r="T8" s="295"/>
      <c r="U8" s="294"/>
      <c r="V8" s="292"/>
      <c r="W8" s="295"/>
      <c r="X8" s="294"/>
      <c r="Y8" s="292"/>
      <c r="Z8" s="295"/>
      <c r="AA8" s="287"/>
    </row>
    <row r="9" spans="1:31" ht="21" thickTop="1" thickBot="1" x14ac:dyDescent="0.3">
      <c r="A9" s="71"/>
      <c r="B9" s="71"/>
      <c r="C9" s="71"/>
      <c r="D9" s="71" t="s">
        <v>119</v>
      </c>
      <c r="E9" s="262" t="s">
        <v>120</v>
      </c>
      <c r="F9" s="71"/>
      <c r="G9" s="398">
        <f>SUM(G11:G40)</f>
        <v>1</v>
      </c>
      <c r="H9" s="263" t="s">
        <v>116</v>
      </c>
      <c r="I9" s="257"/>
      <c r="J9" s="398">
        <f>SUM(J11:J40)</f>
        <v>1.5</v>
      </c>
      <c r="K9" s="264" t="s">
        <v>116</v>
      </c>
      <c r="L9" s="257"/>
      <c r="M9" s="398">
        <f>SUM(M11:M40)</f>
        <v>3.4</v>
      </c>
      <c r="N9" s="264" t="s">
        <v>117</v>
      </c>
      <c r="O9" s="274"/>
      <c r="P9" s="276" t="s">
        <v>121</v>
      </c>
      <c r="Q9" s="276" t="s">
        <v>122</v>
      </c>
      <c r="R9" s="260"/>
      <c r="S9" s="337">
        <f>SUM(S11:S40)</f>
        <v>196</v>
      </c>
      <c r="T9" s="296"/>
      <c r="U9" s="292"/>
      <c r="V9" s="292"/>
      <c r="W9" s="296"/>
      <c r="X9" s="292"/>
      <c r="Y9" s="292"/>
      <c r="Z9" s="297"/>
      <c r="AA9" s="287"/>
    </row>
    <row r="10" spans="1:31" ht="11" customHeight="1" thickTop="1" x14ac:dyDescent="0.2">
      <c r="A10" s="71"/>
      <c r="B10" s="71"/>
      <c r="C10" s="71"/>
      <c r="D10" s="71"/>
      <c r="E10" s="71"/>
      <c r="F10" s="71"/>
      <c r="G10" s="251"/>
      <c r="H10" s="252"/>
      <c r="I10" s="71"/>
      <c r="J10" s="251"/>
      <c r="K10" s="252"/>
      <c r="L10" s="71"/>
      <c r="M10" s="251"/>
      <c r="N10" s="252"/>
      <c r="O10" s="252"/>
      <c r="P10" s="252"/>
      <c r="Q10" s="252"/>
      <c r="R10" s="71"/>
      <c r="S10" s="288"/>
      <c r="T10" s="289"/>
      <c r="U10" s="287"/>
      <c r="V10" s="288"/>
      <c r="W10" s="289"/>
      <c r="X10" s="287"/>
      <c r="Y10" s="288"/>
      <c r="Z10" s="289"/>
      <c r="AA10" s="287"/>
    </row>
    <row r="11" spans="1:31" s="94" customFormat="1" ht="28" customHeight="1" x14ac:dyDescent="0.2">
      <c r="A11" s="265"/>
      <c r="B11" s="277" t="s">
        <v>123</v>
      </c>
      <c r="C11" s="244" t="s">
        <v>124</v>
      </c>
      <c r="D11" s="326" t="s">
        <v>125</v>
      </c>
      <c r="E11" s="245">
        <v>1</v>
      </c>
      <c r="F11" s="266"/>
      <c r="G11" s="397">
        <f>(((VLOOKUP($D11,Data!$R$4:$U$69,2,FALSE)*$E11))/$G$3)*Data!$R$3</f>
        <v>1</v>
      </c>
      <c r="H11" s="267" t="s">
        <v>116</v>
      </c>
      <c r="I11" s="244"/>
      <c r="J11" s="397">
        <f>(((VLOOKUP($D11,Data!$R$4:$U$69,3,FALSE)*$E11))/$G$3)*Data!$R$3</f>
        <v>1.5</v>
      </c>
      <c r="K11" s="268" t="s">
        <v>116</v>
      </c>
      <c r="L11" s="244"/>
      <c r="M11" s="397">
        <f>(((VLOOKUP($D11,Data!$R$4:$U$69,4,FALSE)*$E11))/$G$3)*Data!$R$3</f>
        <v>3.4</v>
      </c>
      <c r="N11" s="268" t="s">
        <v>117</v>
      </c>
      <c r="O11" s="275"/>
      <c r="P11" s="306">
        <v>30</v>
      </c>
      <c r="Q11" s="282">
        <f>(($M11*(17*(10^-8))*((2*$P11)/($P$3*(10^-5))))*100)/($G$3*SQRT(2))</f>
        <v>0.42647762037477333</v>
      </c>
      <c r="R11" s="244"/>
      <c r="S11" s="327">
        <f>ROUND((G11*$G$3*COS(RADIANS(0.5))*3.41)/4,0)</f>
        <v>196</v>
      </c>
      <c r="T11" s="300"/>
      <c r="U11" s="298"/>
      <c r="V11" s="299"/>
      <c r="W11" s="300"/>
      <c r="X11" s="298"/>
      <c r="Y11" s="299"/>
      <c r="Z11" s="301"/>
      <c r="AA11" s="302"/>
      <c r="AC11" s="283"/>
    </row>
    <row r="12" spans="1:31" s="94" customFormat="1" ht="28" customHeight="1" x14ac:dyDescent="0.2">
      <c r="A12" s="265"/>
      <c r="B12" s="277" t="s">
        <v>126</v>
      </c>
      <c r="C12" s="244" t="s">
        <v>124</v>
      </c>
      <c r="D12" s="326" t="s">
        <v>127</v>
      </c>
      <c r="E12" s="247">
        <v>0</v>
      </c>
      <c r="F12" s="266"/>
      <c r="G12" s="397">
        <f>(((VLOOKUP($D12,Data!$R$4:$U$69,2,FALSE)*$E12))/$G$3)*Data!$R$3</f>
        <v>0</v>
      </c>
      <c r="H12" s="267" t="s">
        <v>116</v>
      </c>
      <c r="I12" s="244"/>
      <c r="J12" s="397">
        <f>(((VLOOKUP($D12,Data!$R$4:$U$69,3,FALSE)*$E12))/$G$3)*Data!$R$3</f>
        <v>0</v>
      </c>
      <c r="K12" s="268" t="s">
        <v>116</v>
      </c>
      <c r="L12" s="244"/>
      <c r="M12" s="397">
        <f>(((VLOOKUP($D12,Data!$R$4:$U$69,4,FALSE)*$E12))/$G$3)*Data!$R$3</f>
        <v>0</v>
      </c>
      <c r="N12" s="268" t="s">
        <v>117</v>
      </c>
      <c r="O12" s="275"/>
      <c r="P12" s="307">
        <v>0</v>
      </c>
      <c r="Q12" s="282">
        <f t="shared" ref="Q12:Q39" si="0">(($M12*(17*(10^-8))*((2*$P12)/($P$3*(10^-5))))*100)/($G$3*SQRT(2))</f>
        <v>0</v>
      </c>
      <c r="R12" s="244"/>
      <c r="S12" s="327">
        <f t="shared" ref="S12:S40" si="1">ROUND((G12*$G$3*COS(RADIANS(0.5))*3.41)/4,0)</f>
        <v>0</v>
      </c>
      <c r="T12" s="300"/>
      <c r="U12" s="298"/>
      <c r="V12" s="299"/>
      <c r="W12" s="300"/>
      <c r="X12" s="298"/>
      <c r="Y12" s="299"/>
      <c r="Z12" s="301"/>
      <c r="AA12" s="302"/>
      <c r="AC12" s="284"/>
    </row>
    <row r="13" spans="1:31" s="94" customFormat="1" ht="28" customHeight="1" x14ac:dyDescent="0.2">
      <c r="A13" s="265"/>
      <c r="B13" s="277" t="s">
        <v>128</v>
      </c>
      <c r="C13" s="244" t="s">
        <v>124</v>
      </c>
      <c r="D13" s="326" t="s">
        <v>127</v>
      </c>
      <c r="E13" s="247">
        <v>0</v>
      </c>
      <c r="F13" s="266"/>
      <c r="G13" s="397">
        <f>(((VLOOKUP($D13,Data!$R$4:$U$69,2,FALSE)*$E13))/$G$3)*Data!$R$3</f>
        <v>0</v>
      </c>
      <c r="H13" s="267" t="s">
        <v>116</v>
      </c>
      <c r="I13" s="244"/>
      <c r="J13" s="397">
        <f>(((VLOOKUP($D13,Data!$R$4:$U$69,3,FALSE)*$E13))/$G$3)*Data!$R$3</f>
        <v>0</v>
      </c>
      <c r="K13" s="268" t="s">
        <v>116</v>
      </c>
      <c r="L13" s="244"/>
      <c r="M13" s="397">
        <f>(((VLOOKUP($D13,Data!$R$4:$U$69,4,FALSE)*$E13))/$G$3)*Data!$R$3</f>
        <v>0</v>
      </c>
      <c r="N13" s="268" t="s">
        <v>117</v>
      </c>
      <c r="O13" s="275"/>
      <c r="P13" s="307">
        <v>0</v>
      </c>
      <c r="Q13" s="282">
        <f t="shared" si="0"/>
        <v>0</v>
      </c>
      <c r="R13" s="244"/>
      <c r="S13" s="327">
        <f t="shared" si="1"/>
        <v>0</v>
      </c>
      <c r="T13" s="300"/>
      <c r="U13" s="298"/>
      <c r="V13" s="299"/>
      <c r="W13" s="300"/>
      <c r="X13" s="298"/>
      <c r="Y13" s="299"/>
      <c r="Z13" s="301"/>
      <c r="AA13" s="302"/>
      <c r="AC13" s="269"/>
    </row>
    <row r="14" spans="1:31" s="94" customFormat="1" ht="28" customHeight="1" x14ac:dyDescent="0.2">
      <c r="A14" s="265"/>
      <c r="B14" s="277" t="s">
        <v>129</v>
      </c>
      <c r="C14" s="244" t="s">
        <v>124</v>
      </c>
      <c r="D14" s="326" t="s">
        <v>127</v>
      </c>
      <c r="E14" s="247">
        <v>0</v>
      </c>
      <c r="F14" s="266"/>
      <c r="G14" s="397">
        <f>(((VLOOKUP($D14,Data!$R$4:$U$69,2,FALSE)*$E14))/$G$3)*Data!$R$3</f>
        <v>0</v>
      </c>
      <c r="H14" s="267" t="s">
        <v>116</v>
      </c>
      <c r="I14" s="244"/>
      <c r="J14" s="397">
        <f>(((VLOOKUP($D14,Data!$R$4:$U$69,3,FALSE)*$E14))/$G$3)*Data!$R$3</f>
        <v>0</v>
      </c>
      <c r="K14" s="268" t="s">
        <v>116</v>
      </c>
      <c r="L14" s="244"/>
      <c r="M14" s="397">
        <f>(((VLOOKUP($D14,Data!$R$4:$U$69,4,FALSE)*$E14))/$G$3)*Data!$R$3</f>
        <v>0</v>
      </c>
      <c r="N14" s="268" t="s">
        <v>117</v>
      </c>
      <c r="O14" s="275"/>
      <c r="P14" s="307">
        <v>0</v>
      </c>
      <c r="Q14" s="282">
        <f t="shared" si="0"/>
        <v>0</v>
      </c>
      <c r="R14" s="244"/>
      <c r="S14" s="327">
        <f t="shared" si="1"/>
        <v>0</v>
      </c>
      <c r="T14" s="300"/>
      <c r="U14" s="298"/>
      <c r="V14" s="299"/>
      <c r="W14" s="300"/>
      <c r="X14" s="298"/>
      <c r="Y14" s="299"/>
      <c r="Z14" s="301"/>
      <c r="AA14" s="302"/>
      <c r="AC14" s="284"/>
    </row>
    <row r="15" spans="1:31" s="94" customFormat="1" ht="28" customHeight="1" x14ac:dyDescent="0.2">
      <c r="A15" s="265"/>
      <c r="B15" s="277" t="s">
        <v>130</v>
      </c>
      <c r="C15" s="244" t="s">
        <v>124</v>
      </c>
      <c r="D15" s="326" t="s">
        <v>127</v>
      </c>
      <c r="E15" s="247">
        <v>0</v>
      </c>
      <c r="F15" s="266"/>
      <c r="G15" s="397">
        <f>(((VLOOKUP($D15,Data!$R$4:$U$69,2,FALSE)*$E15))/$G$3)*Data!$R$3</f>
        <v>0</v>
      </c>
      <c r="H15" s="267" t="s">
        <v>116</v>
      </c>
      <c r="I15" s="244"/>
      <c r="J15" s="397">
        <f>(((VLOOKUP($D15,Data!$R$4:$U$69,3,FALSE)*$E15))/$G$3)*Data!$R$3</f>
        <v>0</v>
      </c>
      <c r="K15" s="268" t="s">
        <v>116</v>
      </c>
      <c r="L15" s="244"/>
      <c r="M15" s="397">
        <f>(((VLOOKUP($D15,Data!$R$4:$U$69,4,FALSE)*$E15))/$G$3)*Data!$R$3</f>
        <v>0</v>
      </c>
      <c r="N15" s="268" t="s">
        <v>117</v>
      </c>
      <c r="O15" s="275"/>
      <c r="P15" s="307">
        <v>0</v>
      </c>
      <c r="Q15" s="282">
        <f t="shared" si="0"/>
        <v>0</v>
      </c>
      <c r="R15" s="244"/>
      <c r="S15" s="327">
        <f t="shared" si="1"/>
        <v>0</v>
      </c>
      <c r="T15" s="300"/>
      <c r="U15" s="298"/>
      <c r="V15" s="299"/>
      <c r="W15" s="300"/>
      <c r="X15" s="298"/>
      <c r="Y15" s="299"/>
      <c r="Z15" s="301"/>
      <c r="AA15" s="302"/>
      <c r="AC15" s="269"/>
      <c r="AE15" s="269"/>
    </row>
    <row r="16" spans="1:31" s="94" customFormat="1" ht="28" customHeight="1" x14ac:dyDescent="0.2">
      <c r="A16" s="265"/>
      <c r="B16" s="277" t="s">
        <v>131</v>
      </c>
      <c r="C16" s="244" t="s">
        <v>124</v>
      </c>
      <c r="D16" s="326" t="s">
        <v>127</v>
      </c>
      <c r="E16" s="247">
        <v>0</v>
      </c>
      <c r="F16" s="266"/>
      <c r="G16" s="397">
        <f>(((VLOOKUP($D16,Data!$R$4:$U$69,2,FALSE)*$E16))/$G$3)*Data!$R$3</f>
        <v>0</v>
      </c>
      <c r="H16" s="267" t="s">
        <v>116</v>
      </c>
      <c r="I16" s="244"/>
      <c r="J16" s="397">
        <f>(((VLOOKUP($D16,Data!$R$4:$U$69,3,FALSE)*$E16))/$G$3)*Data!$R$3</f>
        <v>0</v>
      </c>
      <c r="K16" s="268" t="s">
        <v>116</v>
      </c>
      <c r="L16" s="244"/>
      <c r="M16" s="397">
        <f>(((VLOOKUP($D16,Data!$R$4:$U$69,4,FALSE)*$E16))/$G$3)*Data!$R$3</f>
        <v>0</v>
      </c>
      <c r="N16" s="268" t="s">
        <v>117</v>
      </c>
      <c r="O16" s="275"/>
      <c r="P16" s="307">
        <v>0</v>
      </c>
      <c r="Q16" s="282">
        <f t="shared" si="0"/>
        <v>0</v>
      </c>
      <c r="R16" s="244"/>
      <c r="S16" s="327">
        <f t="shared" si="1"/>
        <v>0</v>
      </c>
      <c r="T16" s="300"/>
      <c r="U16" s="298"/>
      <c r="V16" s="299"/>
      <c r="W16" s="300"/>
      <c r="X16" s="298"/>
      <c r="Y16" s="299"/>
      <c r="Z16" s="301"/>
      <c r="AA16" s="302"/>
    </row>
    <row r="17" spans="1:27" s="94" customFormat="1" ht="28" customHeight="1" x14ac:dyDescent="0.2">
      <c r="A17" s="265"/>
      <c r="B17" s="277" t="s">
        <v>132</v>
      </c>
      <c r="C17" s="244" t="s">
        <v>124</v>
      </c>
      <c r="D17" s="326" t="s">
        <v>127</v>
      </c>
      <c r="E17" s="247">
        <v>0</v>
      </c>
      <c r="F17" s="266"/>
      <c r="G17" s="397">
        <f>(((VLOOKUP($D17,Data!$R$4:$U$69,2,FALSE)*$E17))/$G$3)*Data!$R$3</f>
        <v>0</v>
      </c>
      <c r="H17" s="267" t="s">
        <v>116</v>
      </c>
      <c r="I17" s="244"/>
      <c r="J17" s="397">
        <f>(((VLOOKUP($D17,Data!$R$4:$U$69,3,FALSE)*$E17))/$G$3)*Data!$R$3</f>
        <v>0</v>
      </c>
      <c r="K17" s="268" t="s">
        <v>116</v>
      </c>
      <c r="L17" s="244"/>
      <c r="M17" s="397">
        <f>(((VLOOKUP($D17,Data!$R$4:$U$69,4,FALSE)*$E17))/$G$3)*Data!$R$3</f>
        <v>0</v>
      </c>
      <c r="N17" s="268" t="s">
        <v>117</v>
      </c>
      <c r="O17" s="275"/>
      <c r="P17" s="307">
        <v>0</v>
      </c>
      <c r="Q17" s="282">
        <f t="shared" si="0"/>
        <v>0</v>
      </c>
      <c r="R17" s="244"/>
      <c r="S17" s="327">
        <f t="shared" si="1"/>
        <v>0</v>
      </c>
      <c r="T17" s="300"/>
      <c r="U17" s="298"/>
      <c r="V17" s="299"/>
      <c r="W17" s="300"/>
      <c r="X17" s="298"/>
      <c r="Y17" s="299"/>
      <c r="Z17" s="301"/>
      <c r="AA17" s="302"/>
    </row>
    <row r="18" spans="1:27" s="94" customFormat="1" ht="28" customHeight="1" x14ac:dyDescent="0.2">
      <c r="A18" s="265"/>
      <c r="B18" s="277" t="s">
        <v>133</v>
      </c>
      <c r="C18" s="244" t="s">
        <v>124</v>
      </c>
      <c r="D18" s="326" t="s">
        <v>127</v>
      </c>
      <c r="E18" s="247">
        <v>0</v>
      </c>
      <c r="F18" s="266"/>
      <c r="G18" s="397">
        <f>(((VLOOKUP($D18,Data!$R$4:$U$69,2,FALSE)*$E18))/$G$3)*Data!$R$3</f>
        <v>0</v>
      </c>
      <c r="H18" s="267" t="s">
        <v>116</v>
      </c>
      <c r="I18" s="244"/>
      <c r="J18" s="397">
        <f>(((VLOOKUP($D18,Data!$R$4:$U$69,3,FALSE)*$E18))/$G$3)*Data!$R$3</f>
        <v>0</v>
      </c>
      <c r="K18" s="268" t="s">
        <v>116</v>
      </c>
      <c r="L18" s="244"/>
      <c r="M18" s="397">
        <f>(((VLOOKUP($D18,Data!$R$4:$U$69,4,FALSE)*$E18))/$G$3)*Data!$R$3</f>
        <v>0</v>
      </c>
      <c r="N18" s="268" t="s">
        <v>117</v>
      </c>
      <c r="O18" s="275"/>
      <c r="P18" s="307">
        <v>0</v>
      </c>
      <c r="Q18" s="282">
        <f t="shared" si="0"/>
        <v>0</v>
      </c>
      <c r="R18" s="244"/>
      <c r="S18" s="327">
        <f t="shared" si="1"/>
        <v>0</v>
      </c>
      <c r="T18" s="300"/>
      <c r="U18" s="298"/>
      <c r="V18" s="299"/>
      <c r="W18" s="300"/>
      <c r="X18" s="298"/>
      <c r="Y18" s="299"/>
      <c r="Z18" s="301"/>
      <c r="AA18" s="302"/>
    </row>
    <row r="19" spans="1:27" s="94" customFormat="1" ht="28" customHeight="1" x14ac:dyDescent="0.2">
      <c r="A19" s="265"/>
      <c r="B19" s="277" t="s">
        <v>134</v>
      </c>
      <c r="C19" s="244" t="s">
        <v>124</v>
      </c>
      <c r="D19" s="326" t="s">
        <v>127</v>
      </c>
      <c r="E19" s="247">
        <v>0</v>
      </c>
      <c r="F19" s="266"/>
      <c r="G19" s="397">
        <f>(((VLOOKUP($D19,Data!$R$4:$U$69,2,FALSE)*$E19))/$G$3)*Data!$R$3</f>
        <v>0</v>
      </c>
      <c r="H19" s="267" t="s">
        <v>116</v>
      </c>
      <c r="I19" s="244"/>
      <c r="J19" s="397">
        <f>(((VLOOKUP($D19,Data!$R$4:$U$69,3,FALSE)*$E19))/$G$3)*Data!$R$3</f>
        <v>0</v>
      </c>
      <c r="K19" s="268" t="s">
        <v>116</v>
      </c>
      <c r="L19" s="244"/>
      <c r="M19" s="397">
        <f>(((VLOOKUP($D19,Data!$R$4:$U$69,4,FALSE)*$E19))/$G$3)*Data!$R$3</f>
        <v>0</v>
      </c>
      <c r="N19" s="268" t="s">
        <v>117</v>
      </c>
      <c r="O19" s="275"/>
      <c r="P19" s="307">
        <v>0</v>
      </c>
      <c r="Q19" s="282">
        <f t="shared" si="0"/>
        <v>0</v>
      </c>
      <c r="R19" s="244"/>
      <c r="S19" s="327">
        <f t="shared" si="1"/>
        <v>0</v>
      </c>
      <c r="T19" s="300"/>
      <c r="U19" s="298"/>
      <c r="V19" s="299"/>
      <c r="W19" s="300"/>
      <c r="X19" s="298"/>
      <c r="Y19" s="299"/>
      <c r="Z19" s="301"/>
      <c r="AA19" s="302"/>
    </row>
    <row r="20" spans="1:27" s="94" customFormat="1" ht="28" customHeight="1" x14ac:dyDescent="0.2">
      <c r="A20" s="265"/>
      <c r="B20" s="277" t="s">
        <v>135</v>
      </c>
      <c r="C20" s="244" t="s">
        <v>124</v>
      </c>
      <c r="D20" s="326" t="s">
        <v>127</v>
      </c>
      <c r="E20" s="247">
        <v>0</v>
      </c>
      <c r="F20" s="266"/>
      <c r="G20" s="397">
        <f>(((VLOOKUP($D20,Data!$R$4:$U$69,2,FALSE)*$E20))/$G$3)*Data!$R$3</f>
        <v>0</v>
      </c>
      <c r="H20" s="267" t="s">
        <v>116</v>
      </c>
      <c r="I20" s="244"/>
      <c r="J20" s="397">
        <f>(((VLOOKUP($D20,Data!$R$4:$U$69,3,FALSE)*$E20))/$G$3)*Data!$R$3</f>
        <v>0</v>
      </c>
      <c r="K20" s="268" t="s">
        <v>116</v>
      </c>
      <c r="L20" s="244"/>
      <c r="M20" s="397">
        <f>(((VLOOKUP($D20,Data!$R$4:$U$69,4,FALSE)*$E20))/$G$3)*Data!$R$3</f>
        <v>0</v>
      </c>
      <c r="N20" s="268" t="s">
        <v>117</v>
      </c>
      <c r="O20" s="275"/>
      <c r="P20" s="307">
        <v>0</v>
      </c>
      <c r="Q20" s="282">
        <f t="shared" si="0"/>
        <v>0</v>
      </c>
      <c r="R20" s="244"/>
      <c r="S20" s="327">
        <f t="shared" si="1"/>
        <v>0</v>
      </c>
      <c r="T20" s="300"/>
      <c r="U20" s="298"/>
      <c r="V20" s="299"/>
      <c r="W20" s="300"/>
      <c r="X20" s="298"/>
      <c r="Y20" s="299"/>
      <c r="Z20" s="301"/>
      <c r="AA20" s="302"/>
    </row>
    <row r="21" spans="1:27" s="94" customFormat="1" ht="28" customHeight="1" x14ac:dyDescent="0.2">
      <c r="A21" s="265"/>
      <c r="B21" s="277" t="s">
        <v>136</v>
      </c>
      <c r="C21" s="244" t="s">
        <v>124</v>
      </c>
      <c r="D21" s="326" t="s">
        <v>127</v>
      </c>
      <c r="E21" s="247">
        <v>0</v>
      </c>
      <c r="F21" s="266"/>
      <c r="G21" s="397">
        <f>(((VLOOKUP($D21,Data!$R$4:$U$69,2,FALSE)*$E21))/$G$3)*Data!$R$3</f>
        <v>0</v>
      </c>
      <c r="H21" s="267" t="s">
        <v>116</v>
      </c>
      <c r="I21" s="244"/>
      <c r="J21" s="397">
        <f>(((VLOOKUP($D21,Data!$R$4:$U$69,3,FALSE)*$E21))/$G$3)*Data!$R$3</f>
        <v>0</v>
      </c>
      <c r="K21" s="268" t="s">
        <v>116</v>
      </c>
      <c r="L21" s="244"/>
      <c r="M21" s="397">
        <f>(((VLOOKUP($D21,Data!$R$4:$U$69,4,FALSE)*$E21))/$G$3)*Data!$R$3</f>
        <v>0</v>
      </c>
      <c r="N21" s="268" t="s">
        <v>117</v>
      </c>
      <c r="O21" s="275"/>
      <c r="P21" s="307">
        <v>0</v>
      </c>
      <c r="Q21" s="282">
        <f t="shared" si="0"/>
        <v>0</v>
      </c>
      <c r="R21" s="244"/>
      <c r="S21" s="327">
        <f t="shared" si="1"/>
        <v>0</v>
      </c>
      <c r="T21" s="300"/>
      <c r="U21" s="298"/>
      <c r="V21" s="299"/>
      <c r="W21" s="300"/>
      <c r="X21" s="298"/>
      <c r="Y21" s="299"/>
      <c r="Z21" s="301"/>
      <c r="AA21" s="302"/>
    </row>
    <row r="22" spans="1:27" s="94" customFormat="1" ht="28" customHeight="1" x14ac:dyDescent="0.2">
      <c r="A22" s="265"/>
      <c r="B22" s="277" t="s">
        <v>137</v>
      </c>
      <c r="C22" s="244" t="s">
        <v>124</v>
      </c>
      <c r="D22" s="326" t="s">
        <v>127</v>
      </c>
      <c r="E22" s="247">
        <v>0</v>
      </c>
      <c r="F22" s="266"/>
      <c r="G22" s="397">
        <f>(((VLOOKUP($D22,Data!$R$4:$U$69,2,FALSE)*$E22))/$G$3)*Data!$R$3</f>
        <v>0</v>
      </c>
      <c r="H22" s="267" t="s">
        <v>116</v>
      </c>
      <c r="I22" s="244"/>
      <c r="J22" s="397">
        <f>(((VLOOKUP($D22,Data!$R$4:$U$69,3,FALSE)*$E22))/$G$3)*Data!$R$3</f>
        <v>0</v>
      </c>
      <c r="K22" s="268" t="s">
        <v>116</v>
      </c>
      <c r="L22" s="244"/>
      <c r="M22" s="397">
        <f>(((VLOOKUP($D22,Data!$R$4:$U$69,4,FALSE)*$E22))/$G$3)*Data!$R$3</f>
        <v>0</v>
      </c>
      <c r="N22" s="268" t="s">
        <v>117</v>
      </c>
      <c r="O22" s="275"/>
      <c r="P22" s="307">
        <v>0</v>
      </c>
      <c r="Q22" s="282">
        <f t="shared" si="0"/>
        <v>0</v>
      </c>
      <c r="R22" s="244"/>
      <c r="S22" s="327">
        <f t="shared" si="1"/>
        <v>0</v>
      </c>
      <c r="T22" s="300"/>
      <c r="U22" s="298"/>
      <c r="V22" s="299"/>
      <c r="W22" s="300"/>
      <c r="X22" s="298"/>
      <c r="Y22" s="299"/>
      <c r="Z22" s="301"/>
      <c r="AA22" s="302"/>
    </row>
    <row r="23" spans="1:27" s="94" customFormat="1" ht="28" customHeight="1" x14ac:dyDescent="0.2">
      <c r="A23" s="265"/>
      <c r="B23" s="277" t="s">
        <v>138</v>
      </c>
      <c r="C23" s="244" t="s">
        <v>124</v>
      </c>
      <c r="D23" s="326" t="s">
        <v>127</v>
      </c>
      <c r="E23" s="247">
        <v>0</v>
      </c>
      <c r="F23" s="266"/>
      <c r="G23" s="397">
        <f>(((VLOOKUP($D23,Data!$R$4:$U$69,2,FALSE)*$E23))/$G$3)*Data!$R$3</f>
        <v>0</v>
      </c>
      <c r="H23" s="267" t="s">
        <v>116</v>
      </c>
      <c r="I23" s="244"/>
      <c r="J23" s="397">
        <f>(((VLOOKUP($D23,Data!$R$4:$U$69,3,FALSE)*$E23))/$G$3)*Data!$R$3</f>
        <v>0</v>
      </c>
      <c r="K23" s="268" t="s">
        <v>116</v>
      </c>
      <c r="L23" s="244"/>
      <c r="M23" s="397">
        <f>(((VLOOKUP($D23,Data!$R$4:$U$69,4,FALSE)*$E23))/$G$3)*Data!$R$3</f>
        <v>0</v>
      </c>
      <c r="N23" s="268" t="s">
        <v>117</v>
      </c>
      <c r="O23" s="275"/>
      <c r="P23" s="307">
        <v>0</v>
      </c>
      <c r="Q23" s="282">
        <f t="shared" si="0"/>
        <v>0</v>
      </c>
      <c r="R23" s="244"/>
      <c r="S23" s="327">
        <f t="shared" si="1"/>
        <v>0</v>
      </c>
      <c r="T23" s="300"/>
      <c r="U23" s="298"/>
      <c r="V23" s="299"/>
      <c r="W23" s="300"/>
      <c r="X23" s="298"/>
      <c r="Y23" s="299"/>
      <c r="Z23" s="301"/>
      <c r="AA23" s="302"/>
    </row>
    <row r="24" spans="1:27" s="94" customFormat="1" ht="28" customHeight="1" x14ac:dyDescent="0.2">
      <c r="A24" s="265"/>
      <c r="B24" s="277" t="s">
        <v>139</v>
      </c>
      <c r="C24" s="244" t="s">
        <v>124</v>
      </c>
      <c r="D24" s="326" t="s">
        <v>127</v>
      </c>
      <c r="E24" s="247">
        <v>0</v>
      </c>
      <c r="F24" s="266"/>
      <c r="G24" s="397">
        <f>(((VLOOKUP($D24,Data!$R$4:$U$69,2,FALSE)*$E24))/$G$3)*Data!$R$3</f>
        <v>0</v>
      </c>
      <c r="H24" s="267" t="s">
        <v>116</v>
      </c>
      <c r="I24" s="244"/>
      <c r="J24" s="397">
        <f>(((VLOOKUP($D24,Data!$R$4:$U$69,3,FALSE)*$E24))/$G$3)*Data!$R$3</f>
        <v>0</v>
      </c>
      <c r="K24" s="268" t="s">
        <v>116</v>
      </c>
      <c r="L24" s="244"/>
      <c r="M24" s="397">
        <f>(((VLOOKUP($D24,Data!$R$4:$U$69,4,FALSE)*$E24))/$G$3)*Data!$R$3</f>
        <v>0</v>
      </c>
      <c r="N24" s="268" t="s">
        <v>117</v>
      </c>
      <c r="O24" s="275"/>
      <c r="P24" s="307">
        <v>0</v>
      </c>
      <c r="Q24" s="282">
        <f t="shared" si="0"/>
        <v>0</v>
      </c>
      <c r="R24" s="244"/>
      <c r="S24" s="327">
        <f t="shared" si="1"/>
        <v>0</v>
      </c>
      <c r="T24" s="300"/>
      <c r="U24" s="298"/>
      <c r="V24" s="299"/>
      <c r="W24" s="300"/>
      <c r="X24" s="298"/>
      <c r="Y24" s="299"/>
      <c r="Z24" s="301"/>
      <c r="AA24" s="302"/>
    </row>
    <row r="25" spans="1:27" s="94" customFormat="1" ht="28" customHeight="1" x14ac:dyDescent="0.2">
      <c r="A25" s="265"/>
      <c r="B25" s="277" t="s">
        <v>140</v>
      </c>
      <c r="C25" s="244" t="s">
        <v>124</v>
      </c>
      <c r="D25" s="326" t="s">
        <v>127</v>
      </c>
      <c r="E25" s="247">
        <v>0</v>
      </c>
      <c r="F25" s="266"/>
      <c r="G25" s="397">
        <f>(((VLOOKUP($D25,Data!$R$4:$U$69,2,FALSE)*$E25))/$G$3)*Data!$R$3</f>
        <v>0</v>
      </c>
      <c r="H25" s="267" t="s">
        <v>116</v>
      </c>
      <c r="I25" s="244"/>
      <c r="J25" s="397">
        <f>(((VLOOKUP($D25,Data!$R$4:$U$69,3,FALSE)*$E25))/$G$3)*Data!$R$3</f>
        <v>0</v>
      </c>
      <c r="K25" s="268" t="s">
        <v>116</v>
      </c>
      <c r="L25" s="244"/>
      <c r="M25" s="397">
        <f>(((VLOOKUP($D25,Data!$R$4:$U$69,4,FALSE)*$E25))/$G$3)*Data!$R$3</f>
        <v>0</v>
      </c>
      <c r="N25" s="268" t="s">
        <v>117</v>
      </c>
      <c r="O25" s="275"/>
      <c r="P25" s="307">
        <v>0</v>
      </c>
      <c r="Q25" s="282">
        <f t="shared" si="0"/>
        <v>0</v>
      </c>
      <c r="R25" s="244"/>
      <c r="S25" s="327">
        <f t="shared" si="1"/>
        <v>0</v>
      </c>
      <c r="T25" s="300"/>
      <c r="U25" s="298"/>
      <c r="V25" s="299"/>
      <c r="W25" s="300"/>
      <c r="X25" s="298"/>
      <c r="Y25" s="299"/>
      <c r="Z25" s="301"/>
      <c r="AA25" s="302"/>
    </row>
    <row r="26" spans="1:27" s="94" customFormat="1" ht="28" customHeight="1" x14ac:dyDescent="0.2">
      <c r="A26" s="265"/>
      <c r="B26" s="277" t="s">
        <v>141</v>
      </c>
      <c r="C26" s="244" t="s">
        <v>124</v>
      </c>
      <c r="D26" s="326" t="s">
        <v>127</v>
      </c>
      <c r="E26" s="247">
        <v>0</v>
      </c>
      <c r="F26" s="266"/>
      <c r="G26" s="397">
        <f>(((VLOOKUP($D26,Data!$R$4:$U$69,2,FALSE)*$E26))/$G$3)*Data!$R$3</f>
        <v>0</v>
      </c>
      <c r="H26" s="267" t="s">
        <v>116</v>
      </c>
      <c r="I26" s="244"/>
      <c r="J26" s="397">
        <f>(((VLOOKUP($D26,Data!$R$4:$U$69,3,FALSE)*$E26))/$G$3)*Data!$R$3</f>
        <v>0</v>
      </c>
      <c r="K26" s="268" t="s">
        <v>116</v>
      </c>
      <c r="L26" s="244"/>
      <c r="M26" s="397">
        <f>(((VLOOKUP($D26,Data!$R$4:$U$69,4,FALSE)*$E26))/$G$3)*Data!$R$3</f>
        <v>0</v>
      </c>
      <c r="N26" s="268" t="s">
        <v>117</v>
      </c>
      <c r="O26" s="275"/>
      <c r="P26" s="307">
        <v>0</v>
      </c>
      <c r="Q26" s="282">
        <f t="shared" si="0"/>
        <v>0</v>
      </c>
      <c r="R26" s="244"/>
      <c r="S26" s="327">
        <f t="shared" si="1"/>
        <v>0</v>
      </c>
      <c r="T26" s="300"/>
      <c r="U26" s="298"/>
      <c r="V26" s="299"/>
      <c r="W26" s="300"/>
      <c r="X26" s="298"/>
      <c r="Y26" s="299"/>
      <c r="Z26" s="301"/>
      <c r="AA26" s="302"/>
    </row>
    <row r="27" spans="1:27" s="94" customFormat="1" ht="28" customHeight="1" x14ac:dyDescent="0.2">
      <c r="A27" s="265"/>
      <c r="B27" s="277" t="s">
        <v>142</v>
      </c>
      <c r="C27" s="244" t="s">
        <v>124</v>
      </c>
      <c r="D27" s="326" t="s">
        <v>127</v>
      </c>
      <c r="E27" s="247">
        <v>0</v>
      </c>
      <c r="F27" s="266"/>
      <c r="G27" s="397">
        <f>(((VLOOKUP($D27,Data!$R$4:$U$69,2,FALSE)*$E27))/$G$3)*Data!$R$3</f>
        <v>0</v>
      </c>
      <c r="H27" s="267" t="s">
        <v>116</v>
      </c>
      <c r="I27" s="244"/>
      <c r="J27" s="397">
        <f>(((VLOOKUP($D27,Data!$R$4:$U$69,3,FALSE)*$E27))/$G$3)*Data!$R$3</f>
        <v>0</v>
      </c>
      <c r="K27" s="268" t="s">
        <v>116</v>
      </c>
      <c r="L27" s="244"/>
      <c r="M27" s="397">
        <f>(((VLOOKUP($D27,Data!$R$4:$U$69,4,FALSE)*$E27))/$G$3)*Data!$R$3</f>
        <v>0</v>
      </c>
      <c r="N27" s="268" t="s">
        <v>117</v>
      </c>
      <c r="O27" s="275"/>
      <c r="P27" s="307">
        <v>0</v>
      </c>
      <c r="Q27" s="282">
        <f t="shared" si="0"/>
        <v>0</v>
      </c>
      <c r="R27" s="244"/>
      <c r="S27" s="327">
        <f t="shared" si="1"/>
        <v>0</v>
      </c>
      <c r="T27" s="300"/>
      <c r="U27" s="298"/>
      <c r="V27" s="299"/>
      <c r="W27" s="300"/>
      <c r="X27" s="298"/>
      <c r="Y27" s="299"/>
      <c r="Z27" s="301"/>
      <c r="AA27" s="302"/>
    </row>
    <row r="28" spans="1:27" s="94" customFormat="1" ht="28" customHeight="1" x14ac:dyDescent="0.2">
      <c r="A28" s="265"/>
      <c r="B28" s="277" t="s">
        <v>143</v>
      </c>
      <c r="C28" s="244" t="s">
        <v>124</v>
      </c>
      <c r="D28" s="326" t="s">
        <v>127</v>
      </c>
      <c r="E28" s="247">
        <v>0</v>
      </c>
      <c r="F28" s="266"/>
      <c r="G28" s="397">
        <f>(((VLOOKUP($D28,Data!$R$4:$U$69,2,FALSE)*$E28))/$G$3)*Data!$R$3</f>
        <v>0</v>
      </c>
      <c r="H28" s="267" t="s">
        <v>116</v>
      </c>
      <c r="I28" s="244"/>
      <c r="J28" s="397">
        <f>(((VLOOKUP($D28,Data!$R$4:$U$69,3,FALSE)*$E28))/$G$3)*Data!$R$3</f>
        <v>0</v>
      </c>
      <c r="K28" s="268" t="s">
        <v>116</v>
      </c>
      <c r="L28" s="244"/>
      <c r="M28" s="397">
        <f>(((VLOOKUP($D28,Data!$R$4:$U$69,4,FALSE)*$E28))/$G$3)*Data!$R$3</f>
        <v>0</v>
      </c>
      <c r="N28" s="268" t="s">
        <v>117</v>
      </c>
      <c r="O28" s="275"/>
      <c r="P28" s="307">
        <v>0</v>
      </c>
      <c r="Q28" s="282">
        <f t="shared" si="0"/>
        <v>0</v>
      </c>
      <c r="R28" s="244"/>
      <c r="S28" s="327">
        <f t="shared" si="1"/>
        <v>0</v>
      </c>
      <c r="T28" s="300"/>
      <c r="U28" s="298"/>
      <c r="V28" s="299"/>
      <c r="W28" s="300"/>
      <c r="X28" s="298"/>
      <c r="Y28" s="299"/>
      <c r="Z28" s="301"/>
      <c r="AA28" s="302"/>
    </row>
    <row r="29" spans="1:27" s="94" customFormat="1" ht="28" customHeight="1" x14ac:dyDescent="0.2">
      <c r="A29" s="265"/>
      <c r="B29" s="277" t="s">
        <v>144</v>
      </c>
      <c r="C29" s="244" t="s">
        <v>124</v>
      </c>
      <c r="D29" s="326" t="s">
        <v>127</v>
      </c>
      <c r="E29" s="247">
        <v>0</v>
      </c>
      <c r="F29" s="266"/>
      <c r="G29" s="397">
        <f>(((VLOOKUP($D29,Data!$R$4:$U$69,2,FALSE)*$E29))/$G$3)*Data!$R$3</f>
        <v>0</v>
      </c>
      <c r="H29" s="267" t="s">
        <v>116</v>
      </c>
      <c r="I29" s="244"/>
      <c r="J29" s="397">
        <f>(((VLOOKUP($D29,Data!$R$4:$U$69,3,FALSE)*$E29))/$G$3)*Data!$R$3</f>
        <v>0</v>
      </c>
      <c r="K29" s="268" t="s">
        <v>116</v>
      </c>
      <c r="L29" s="244"/>
      <c r="M29" s="397">
        <f>(((VLOOKUP($D29,Data!$R$4:$U$69,4,FALSE)*$E29))/$G$3)*Data!$R$3</f>
        <v>0</v>
      </c>
      <c r="N29" s="268" t="s">
        <v>117</v>
      </c>
      <c r="O29" s="275"/>
      <c r="P29" s="307">
        <v>0</v>
      </c>
      <c r="Q29" s="282">
        <f t="shared" si="0"/>
        <v>0</v>
      </c>
      <c r="R29" s="244"/>
      <c r="S29" s="327">
        <f t="shared" si="1"/>
        <v>0</v>
      </c>
      <c r="T29" s="300"/>
      <c r="U29" s="298"/>
      <c r="V29" s="299"/>
      <c r="W29" s="300"/>
      <c r="X29" s="298"/>
      <c r="Y29" s="299"/>
      <c r="Z29" s="301"/>
      <c r="AA29" s="302"/>
    </row>
    <row r="30" spans="1:27" s="94" customFormat="1" ht="28" customHeight="1" x14ac:dyDescent="0.2">
      <c r="A30" s="265"/>
      <c r="B30" s="277" t="s">
        <v>145</v>
      </c>
      <c r="C30" s="244" t="s">
        <v>124</v>
      </c>
      <c r="D30" s="326" t="s">
        <v>127</v>
      </c>
      <c r="E30" s="247">
        <v>0</v>
      </c>
      <c r="F30" s="266"/>
      <c r="G30" s="397">
        <f>(((VLOOKUP($D30,Data!$R$4:$U$69,2,FALSE)*$E30))/$G$3)*Data!$R$3</f>
        <v>0</v>
      </c>
      <c r="H30" s="267" t="s">
        <v>116</v>
      </c>
      <c r="I30" s="244"/>
      <c r="J30" s="397">
        <f>(((VLOOKUP($D30,Data!$R$4:$U$69,3,FALSE)*$E30))/$G$3)*Data!$R$3</f>
        <v>0</v>
      </c>
      <c r="K30" s="268" t="s">
        <v>116</v>
      </c>
      <c r="L30" s="244"/>
      <c r="M30" s="397">
        <f>(((VLOOKUP($D30,Data!$R$4:$U$69,4,FALSE)*$E30))/$G$3)*Data!$R$3</f>
        <v>0</v>
      </c>
      <c r="N30" s="268" t="s">
        <v>117</v>
      </c>
      <c r="O30" s="275"/>
      <c r="P30" s="307">
        <v>0</v>
      </c>
      <c r="Q30" s="282">
        <f t="shared" si="0"/>
        <v>0</v>
      </c>
      <c r="R30" s="244"/>
      <c r="S30" s="327">
        <f t="shared" si="1"/>
        <v>0</v>
      </c>
      <c r="T30" s="300"/>
      <c r="U30" s="298"/>
      <c r="V30" s="299"/>
      <c r="W30" s="300"/>
      <c r="X30" s="298"/>
      <c r="Y30" s="299"/>
      <c r="Z30" s="301"/>
      <c r="AA30" s="302"/>
    </row>
    <row r="31" spans="1:27" s="94" customFormat="1" ht="28" customHeight="1" x14ac:dyDescent="0.2">
      <c r="A31" s="265"/>
      <c r="B31" s="277" t="s">
        <v>146</v>
      </c>
      <c r="C31" s="244" t="s">
        <v>124</v>
      </c>
      <c r="D31" s="326" t="s">
        <v>127</v>
      </c>
      <c r="E31" s="247">
        <v>0</v>
      </c>
      <c r="F31" s="266"/>
      <c r="G31" s="397">
        <f>(((VLOOKUP($D31,Data!$R$4:$U$69,2,FALSE)*$E31))/$G$3)*Data!$R$3</f>
        <v>0</v>
      </c>
      <c r="H31" s="267" t="s">
        <v>116</v>
      </c>
      <c r="I31" s="244"/>
      <c r="J31" s="397">
        <f>(((VLOOKUP($D31,Data!$R$4:$U$69,3,FALSE)*$E31))/$G$3)*Data!$R$3</f>
        <v>0</v>
      </c>
      <c r="K31" s="268" t="s">
        <v>116</v>
      </c>
      <c r="L31" s="244"/>
      <c r="M31" s="397">
        <f>(((VLOOKUP($D31,Data!$R$4:$U$69,4,FALSE)*$E31))/$G$3)*Data!$R$3</f>
        <v>0</v>
      </c>
      <c r="N31" s="268" t="s">
        <v>117</v>
      </c>
      <c r="O31" s="275"/>
      <c r="P31" s="307">
        <v>0</v>
      </c>
      <c r="Q31" s="282">
        <f t="shared" si="0"/>
        <v>0</v>
      </c>
      <c r="R31" s="244"/>
      <c r="S31" s="327">
        <f t="shared" si="1"/>
        <v>0</v>
      </c>
      <c r="T31" s="300"/>
      <c r="U31" s="298"/>
      <c r="V31" s="299"/>
      <c r="W31" s="300"/>
      <c r="X31" s="298"/>
      <c r="Y31" s="299"/>
      <c r="Z31" s="301"/>
      <c r="AA31" s="302"/>
    </row>
    <row r="32" spans="1:27" s="94" customFormat="1" ht="28" customHeight="1" x14ac:dyDescent="0.2">
      <c r="A32" s="265"/>
      <c r="B32" s="277" t="s">
        <v>147</v>
      </c>
      <c r="C32" s="244" t="s">
        <v>124</v>
      </c>
      <c r="D32" s="326" t="s">
        <v>127</v>
      </c>
      <c r="E32" s="247">
        <v>0</v>
      </c>
      <c r="F32" s="266"/>
      <c r="G32" s="397">
        <f>(((VLOOKUP($D32,Data!$R$4:$U$69,2,FALSE)*$E32))/$G$3)*Data!$R$3</f>
        <v>0</v>
      </c>
      <c r="H32" s="267" t="s">
        <v>116</v>
      </c>
      <c r="I32" s="244"/>
      <c r="J32" s="397">
        <f>(((VLOOKUP($D32,Data!$R$4:$U$69,3,FALSE)*$E32))/$G$3)*Data!$R$3</f>
        <v>0</v>
      </c>
      <c r="K32" s="268" t="s">
        <v>116</v>
      </c>
      <c r="L32" s="244"/>
      <c r="M32" s="397">
        <f>(((VLOOKUP($D32,Data!$R$4:$U$69,4,FALSE)*$E32))/$G$3)*Data!$R$3</f>
        <v>0</v>
      </c>
      <c r="N32" s="268" t="s">
        <v>117</v>
      </c>
      <c r="O32" s="275"/>
      <c r="P32" s="307">
        <v>0</v>
      </c>
      <c r="Q32" s="282">
        <f t="shared" si="0"/>
        <v>0</v>
      </c>
      <c r="R32" s="244"/>
      <c r="S32" s="327">
        <f>ROUND((G32*$G$3*COS(RADIANS(0.5))*3.41)/4,0)</f>
        <v>0</v>
      </c>
      <c r="T32" s="300"/>
      <c r="U32" s="298"/>
      <c r="V32" s="299"/>
      <c r="W32" s="300"/>
      <c r="X32" s="298"/>
      <c r="Y32" s="299"/>
      <c r="Z32" s="301"/>
      <c r="AA32" s="302"/>
    </row>
    <row r="33" spans="1:27" s="94" customFormat="1" ht="28" customHeight="1" x14ac:dyDescent="0.2">
      <c r="A33" s="265"/>
      <c r="B33" s="277" t="s">
        <v>148</v>
      </c>
      <c r="C33" s="244" t="s">
        <v>124</v>
      </c>
      <c r="D33" s="326" t="s">
        <v>127</v>
      </c>
      <c r="E33" s="247">
        <v>0</v>
      </c>
      <c r="F33" s="266"/>
      <c r="G33" s="397">
        <f>(((VLOOKUP($D33,Data!$R$4:$U$69,2,FALSE)*$E33))/$G$3)*Data!$R$3</f>
        <v>0</v>
      </c>
      <c r="H33" s="267" t="s">
        <v>116</v>
      </c>
      <c r="I33" s="244"/>
      <c r="J33" s="397">
        <f>(((VLOOKUP($D33,Data!$R$4:$U$69,3,FALSE)*$E33))/$G$3)*Data!$R$3</f>
        <v>0</v>
      </c>
      <c r="K33" s="268" t="s">
        <v>116</v>
      </c>
      <c r="L33" s="244"/>
      <c r="M33" s="397">
        <f>(((VLOOKUP($D33,Data!$R$4:$U$69,4,FALSE)*$E33))/$G$3)*Data!$R$3</f>
        <v>0</v>
      </c>
      <c r="N33" s="268" t="s">
        <v>117</v>
      </c>
      <c r="O33" s="275"/>
      <c r="P33" s="307">
        <v>0</v>
      </c>
      <c r="Q33" s="282">
        <f t="shared" si="0"/>
        <v>0</v>
      </c>
      <c r="R33" s="244"/>
      <c r="S33" s="327">
        <f t="shared" si="1"/>
        <v>0</v>
      </c>
      <c r="T33" s="300"/>
      <c r="U33" s="298"/>
      <c r="V33" s="299"/>
      <c r="W33" s="300"/>
      <c r="X33" s="298"/>
      <c r="Y33" s="299"/>
      <c r="Z33" s="301"/>
      <c r="AA33" s="302"/>
    </row>
    <row r="34" spans="1:27" s="94" customFormat="1" ht="28" customHeight="1" x14ac:dyDescent="0.2">
      <c r="A34" s="265"/>
      <c r="B34" s="277" t="s">
        <v>149</v>
      </c>
      <c r="C34" s="244" t="s">
        <v>124</v>
      </c>
      <c r="D34" s="326" t="s">
        <v>127</v>
      </c>
      <c r="E34" s="247">
        <v>0</v>
      </c>
      <c r="F34" s="266"/>
      <c r="G34" s="397">
        <f>(((VLOOKUP($D34,Data!$R$4:$U$69,2,FALSE)*$E34))/$G$3)*Data!$R$3</f>
        <v>0</v>
      </c>
      <c r="H34" s="267" t="s">
        <v>116</v>
      </c>
      <c r="I34" s="244"/>
      <c r="J34" s="397">
        <f>(((VLOOKUP($D34,Data!$R$4:$U$69,3,FALSE)*$E34))/$G$3)*Data!$R$3</f>
        <v>0</v>
      </c>
      <c r="K34" s="268" t="s">
        <v>116</v>
      </c>
      <c r="L34" s="244"/>
      <c r="M34" s="397">
        <f>(((VLOOKUP($D34,Data!$R$4:$U$69,4,FALSE)*$E34))/$G$3)*Data!$R$3</f>
        <v>0</v>
      </c>
      <c r="N34" s="268" t="s">
        <v>117</v>
      </c>
      <c r="O34" s="275"/>
      <c r="P34" s="307">
        <v>0</v>
      </c>
      <c r="Q34" s="282">
        <f t="shared" si="0"/>
        <v>0</v>
      </c>
      <c r="R34" s="244"/>
      <c r="S34" s="327">
        <f t="shared" si="1"/>
        <v>0</v>
      </c>
      <c r="T34" s="300"/>
      <c r="U34" s="298"/>
      <c r="V34" s="299"/>
      <c r="W34" s="300"/>
      <c r="X34" s="298"/>
      <c r="Y34" s="299"/>
      <c r="Z34" s="301"/>
      <c r="AA34" s="302"/>
    </row>
    <row r="35" spans="1:27" s="94" customFormat="1" ht="28" customHeight="1" x14ac:dyDescent="0.2">
      <c r="A35" s="265"/>
      <c r="B35" s="277" t="s">
        <v>150</v>
      </c>
      <c r="C35" s="244" t="s">
        <v>124</v>
      </c>
      <c r="D35" s="326" t="s">
        <v>127</v>
      </c>
      <c r="E35" s="247">
        <v>0</v>
      </c>
      <c r="F35" s="266"/>
      <c r="G35" s="397">
        <f>(((VLOOKUP($D35,Data!$R$4:$U$69,2,FALSE)*$E35))/$G$3)*Data!$R$3</f>
        <v>0</v>
      </c>
      <c r="H35" s="267" t="s">
        <v>116</v>
      </c>
      <c r="I35" s="244"/>
      <c r="J35" s="397">
        <f>(((VLOOKUP($D35,Data!$R$4:$U$69,3,FALSE)*$E35))/$G$3)*Data!$R$3</f>
        <v>0</v>
      </c>
      <c r="K35" s="268" t="s">
        <v>116</v>
      </c>
      <c r="L35" s="244"/>
      <c r="M35" s="397">
        <f>(((VLOOKUP($D35,Data!$R$4:$U$69,4,FALSE)*$E35))/$G$3)*Data!$R$3</f>
        <v>0</v>
      </c>
      <c r="N35" s="268" t="s">
        <v>117</v>
      </c>
      <c r="O35" s="275"/>
      <c r="P35" s="307">
        <v>0</v>
      </c>
      <c r="Q35" s="282">
        <f t="shared" si="0"/>
        <v>0</v>
      </c>
      <c r="R35" s="244"/>
      <c r="S35" s="327">
        <f t="shared" si="1"/>
        <v>0</v>
      </c>
      <c r="T35" s="300"/>
      <c r="U35" s="298"/>
      <c r="V35" s="299"/>
      <c r="W35" s="300"/>
      <c r="X35" s="298"/>
      <c r="Y35" s="299"/>
      <c r="Z35" s="301"/>
      <c r="AA35" s="302"/>
    </row>
    <row r="36" spans="1:27" s="94" customFormat="1" ht="28" customHeight="1" x14ac:dyDescent="0.2">
      <c r="A36" s="265"/>
      <c r="B36" s="277" t="s">
        <v>151</v>
      </c>
      <c r="C36" s="244" t="s">
        <v>124</v>
      </c>
      <c r="D36" s="326" t="s">
        <v>127</v>
      </c>
      <c r="E36" s="247">
        <v>0</v>
      </c>
      <c r="F36" s="266"/>
      <c r="G36" s="397">
        <f>(((VLOOKUP($D36,Data!$R$4:$U$69,2,FALSE)*$E36))/$G$3)*Data!$R$3</f>
        <v>0</v>
      </c>
      <c r="H36" s="267" t="s">
        <v>116</v>
      </c>
      <c r="I36" s="244"/>
      <c r="J36" s="397">
        <f>(((VLOOKUP($D36,Data!$R$4:$U$69,3,FALSE)*$E36))/$G$3)*Data!$R$3</f>
        <v>0</v>
      </c>
      <c r="K36" s="268" t="s">
        <v>116</v>
      </c>
      <c r="L36" s="244"/>
      <c r="M36" s="397">
        <f>(((VLOOKUP($D36,Data!$R$4:$U$69,4,FALSE)*$E36))/$G$3)*Data!$R$3</f>
        <v>0</v>
      </c>
      <c r="N36" s="268" t="s">
        <v>117</v>
      </c>
      <c r="O36" s="275"/>
      <c r="P36" s="307">
        <v>0</v>
      </c>
      <c r="Q36" s="282">
        <f t="shared" si="0"/>
        <v>0</v>
      </c>
      <c r="R36" s="244"/>
      <c r="S36" s="327">
        <f t="shared" si="1"/>
        <v>0</v>
      </c>
      <c r="T36" s="300"/>
      <c r="U36" s="298"/>
      <c r="V36" s="299"/>
      <c r="W36" s="300"/>
      <c r="X36" s="298"/>
      <c r="Y36" s="299"/>
      <c r="Z36" s="301"/>
      <c r="AA36" s="302"/>
    </row>
    <row r="37" spans="1:27" s="94" customFormat="1" ht="28" customHeight="1" x14ac:dyDescent="0.2">
      <c r="A37" s="265"/>
      <c r="B37" s="277" t="s">
        <v>152</v>
      </c>
      <c r="C37" s="244" t="s">
        <v>124</v>
      </c>
      <c r="D37" s="326" t="s">
        <v>127</v>
      </c>
      <c r="E37" s="247">
        <v>0</v>
      </c>
      <c r="F37" s="266"/>
      <c r="G37" s="397">
        <f>(((VLOOKUP($D37,Data!$R$4:$U$69,2,FALSE)*$E37))/$G$3)*Data!$R$3</f>
        <v>0</v>
      </c>
      <c r="H37" s="267" t="s">
        <v>116</v>
      </c>
      <c r="I37" s="244"/>
      <c r="J37" s="397">
        <f>(((VLOOKUP($D37,Data!$R$4:$U$69,3,FALSE)*$E37))/$G$3)*Data!$R$3</f>
        <v>0</v>
      </c>
      <c r="K37" s="268" t="s">
        <v>116</v>
      </c>
      <c r="L37" s="244"/>
      <c r="M37" s="397">
        <f>(((VLOOKUP($D37,Data!$R$4:$U$69,4,FALSE)*$E37))/$G$3)*Data!$R$3</f>
        <v>0</v>
      </c>
      <c r="N37" s="268" t="s">
        <v>117</v>
      </c>
      <c r="O37" s="275"/>
      <c r="P37" s="307">
        <v>0</v>
      </c>
      <c r="Q37" s="282">
        <f t="shared" si="0"/>
        <v>0</v>
      </c>
      <c r="R37" s="244"/>
      <c r="S37" s="327">
        <f t="shared" si="1"/>
        <v>0</v>
      </c>
      <c r="T37" s="300"/>
      <c r="U37" s="298"/>
      <c r="V37" s="299"/>
      <c r="W37" s="300"/>
      <c r="X37" s="298"/>
      <c r="Y37" s="299"/>
      <c r="Z37" s="301"/>
      <c r="AA37" s="302"/>
    </row>
    <row r="38" spans="1:27" s="94" customFormat="1" ht="28" customHeight="1" x14ac:dyDescent="0.2">
      <c r="A38" s="265"/>
      <c r="B38" s="277" t="s">
        <v>153</v>
      </c>
      <c r="C38" s="244" t="s">
        <v>124</v>
      </c>
      <c r="D38" s="326" t="s">
        <v>127</v>
      </c>
      <c r="E38" s="247">
        <v>0</v>
      </c>
      <c r="F38" s="266"/>
      <c r="G38" s="397">
        <f>(((VLOOKUP($D38,Data!$R$4:$U$69,2,FALSE)*$E38))/$G$3)*Data!$R$3</f>
        <v>0</v>
      </c>
      <c r="H38" s="267" t="s">
        <v>116</v>
      </c>
      <c r="I38" s="244"/>
      <c r="J38" s="397">
        <f>(((VLOOKUP($D38,Data!$R$4:$U$69,3,FALSE)*$E38))/$G$3)*Data!$R$3</f>
        <v>0</v>
      </c>
      <c r="K38" s="268" t="s">
        <v>116</v>
      </c>
      <c r="L38" s="244"/>
      <c r="M38" s="397">
        <f>(((VLOOKUP($D38,Data!$R$4:$U$69,4,FALSE)*$E38))/$G$3)*Data!$R$3</f>
        <v>0</v>
      </c>
      <c r="N38" s="268" t="s">
        <v>117</v>
      </c>
      <c r="O38" s="275"/>
      <c r="P38" s="307">
        <v>0</v>
      </c>
      <c r="Q38" s="282">
        <f t="shared" si="0"/>
        <v>0</v>
      </c>
      <c r="R38" s="244"/>
      <c r="S38" s="327">
        <f t="shared" si="1"/>
        <v>0</v>
      </c>
      <c r="T38" s="300"/>
      <c r="U38" s="298"/>
      <c r="V38" s="299"/>
      <c r="W38" s="300"/>
      <c r="X38" s="298"/>
      <c r="Y38" s="299"/>
      <c r="Z38" s="301"/>
      <c r="AA38" s="302"/>
    </row>
    <row r="39" spans="1:27" s="94" customFormat="1" ht="28" customHeight="1" x14ac:dyDescent="0.2">
      <c r="A39" s="265"/>
      <c r="B39" s="277" t="s">
        <v>154</v>
      </c>
      <c r="C39" s="244" t="s">
        <v>124</v>
      </c>
      <c r="D39" s="326" t="s">
        <v>127</v>
      </c>
      <c r="E39" s="247">
        <v>0</v>
      </c>
      <c r="F39" s="266"/>
      <c r="G39" s="397">
        <f>(((VLOOKUP($D39,Data!$R$4:$U$69,2,FALSE)*$E39))/$G$3)*Data!$R$3</f>
        <v>0</v>
      </c>
      <c r="H39" s="267" t="s">
        <v>116</v>
      </c>
      <c r="I39" s="244"/>
      <c r="J39" s="397">
        <f>(((VLOOKUP($D39,Data!$R$4:$U$69,3,FALSE)*$E39))/$G$3)*Data!$R$3</f>
        <v>0</v>
      </c>
      <c r="K39" s="268" t="s">
        <v>116</v>
      </c>
      <c r="L39" s="244"/>
      <c r="M39" s="397">
        <f>(((VLOOKUP($D39,Data!$R$4:$U$69,4,FALSE)*$E39))/$G$3)*Data!$R$3</f>
        <v>0</v>
      </c>
      <c r="N39" s="268" t="s">
        <v>117</v>
      </c>
      <c r="O39" s="275"/>
      <c r="P39" s="307">
        <v>0</v>
      </c>
      <c r="Q39" s="282">
        <f t="shared" si="0"/>
        <v>0</v>
      </c>
      <c r="R39" s="244"/>
      <c r="S39" s="327">
        <f t="shared" si="1"/>
        <v>0</v>
      </c>
      <c r="T39" s="300"/>
      <c r="U39" s="298"/>
      <c r="V39" s="299"/>
      <c r="W39" s="300"/>
      <c r="X39" s="298"/>
      <c r="Y39" s="299"/>
      <c r="Z39" s="301"/>
      <c r="AA39" s="302"/>
    </row>
    <row r="40" spans="1:27" s="94" customFormat="1" ht="28" customHeight="1" x14ac:dyDescent="0.2">
      <c r="A40" s="265"/>
      <c r="B40" s="277" t="s">
        <v>155</v>
      </c>
      <c r="C40" s="244" t="s">
        <v>124</v>
      </c>
      <c r="D40" s="326" t="s">
        <v>127</v>
      </c>
      <c r="E40" s="246">
        <v>0</v>
      </c>
      <c r="F40" s="266"/>
      <c r="G40" s="397">
        <f>(((VLOOKUP($D40,Data!$R$4:$U$69,2,FALSE)*$E40))/$G$3)*Data!$R$3</f>
        <v>0</v>
      </c>
      <c r="H40" s="267" t="s">
        <v>116</v>
      </c>
      <c r="I40" s="244"/>
      <c r="J40" s="397">
        <f>(((VLOOKUP($D40,Data!$R$4:$U$69,3,FALSE)*$E40))/$G$3)*Data!$R$3</f>
        <v>0</v>
      </c>
      <c r="K40" s="268" t="s">
        <v>116</v>
      </c>
      <c r="L40" s="244"/>
      <c r="M40" s="397">
        <f>(((VLOOKUP($D40,Data!$R$4:$U$69,4,FALSE)*$E40))/$G$3)*Data!$R$3</f>
        <v>0</v>
      </c>
      <c r="N40" s="268" t="s">
        <v>117</v>
      </c>
      <c r="O40" s="275"/>
      <c r="P40" s="308">
        <v>0</v>
      </c>
      <c r="Q40" s="282">
        <f>(($M40*(17*(10^-8))*((2*$P40)/($P$3*(10^-5))))*100)/($G$3*SQRT(2))</f>
        <v>0</v>
      </c>
      <c r="R40" s="244"/>
      <c r="S40" s="327">
        <f t="shared" si="1"/>
        <v>0</v>
      </c>
      <c r="T40" s="300"/>
      <c r="U40" s="298"/>
      <c r="V40" s="299"/>
      <c r="W40" s="300"/>
      <c r="X40" s="298"/>
      <c r="Y40" s="299"/>
      <c r="Z40" s="301"/>
      <c r="AA40" s="302"/>
    </row>
    <row r="41" spans="1:27" s="94" customFormat="1" ht="15" customHeight="1" x14ac:dyDescent="0.2">
      <c r="A41" s="265"/>
      <c r="B41" s="276"/>
      <c r="C41" s="244"/>
      <c r="D41" s="244"/>
      <c r="E41" s="266"/>
      <c r="F41" s="266"/>
      <c r="G41" s="285"/>
      <c r="H41" s="286"/>
      <c r="I41" s="244"/>
      <c r="J41" s="285"/>
      <c r="K41" s="275"/>
      <c r="L41" s="244"/>
      <c r="M41" s="285"/>
      <c r="N41" s="275"/>
      <c r="O41" s="275"/>
      <c r="P41" s="316"/>
      <c r="Q41" s="315"/>
      <c r="R41" s="244"/>
      <c r="S41" s="299"/>
      <c r="T41" s="300"/>
      <c r="U41" s="298"/>
      <c r="V41" s="299"/>
      <c r="W41" s="300"/>
      <c r="X41" s="298"/>
      <c r="Y41" s="299"/>
      <c r="Z41" s="301"/>
      <c r="AA41" s="302"/>
    </row>
    <row r="42" spans="1:27" x14ac:dyDescent="0.2">
      <c r="A42" s="71"/>
      <c r="B42" s="167" t="str">
        <f>Data!$T$1</f>
        <v>Meyer Sound Laboratories, Inc. Berkeley, California, USA                                 www.meyersound.com</v>
      </c>
      <c r="C42" s="147"/>
      <c r="D42" s="147"/>
      <c r="E42" s="147"/>
      <c r="F42" s="147"/>
      <c r="G42" s="147"/>
      <c r="H42" s="147"/>
      <c r="I42" s="147"/>
      <c r="J42" s="147"/>
      <c r="K42" s="147"/>
      <c r="L42" s="147"/>
      <c r="M42" s="147"/>
      <c r="N42" s="147"/>
      <c r="O42" s="44"/>
      <c r="P42" s="390" t="str">
        <f>Data!G1</f>
        <v>© 2021</v>
      </c>
      <c r="Q42" s="170"/>
      <c r="R42" s="71"/>
      <c r="S42" s="288"/>
      <c r="T42" s="170" t="str">
        <f>Data!$M$1</f>
        <v>06.257.005.01 C</v>
      </c>
      <c r="U42" s="287"/>
      <c r="V42" s="288"/>
      <c r="W42" s="289"/>
      <c r="X42" s="287"/>
      <c r="Y42" s="288"/>
      <c r="Z42" s="289"/>
      <c r="AA42" s="287"/>
    </row>
    <row r="43" spans="1:27" hidden="1" x14ac:dyDescent="0.2">
      <c r="A43" s="71"/>
      <c r="B43" s="71"/>
      <c r="C43" s="71"/>
      <c r="D43" s="71"/>
      <c r="E43" s="71"/>
      <c r="F43" s="71"/>
      <c r="G43" s="251"/>
      <c r="H43" s="252"/>
      <c r="I43" s="71"/>
      <c r="J43" s="251"/>
      <c r="K43" s="252"/>
      <c r="L43" s="71"/>
      <c r="M43" s="251"/>
      <c r="N43" s="252"/>
      <c r="O43" s="252"/>
      <c r="P43" s="280"/>
      <c r="Q43" s="252"/>
      <c r="R43" s="71"/>
      <c r="S43" s="288"/>
      <c r="T43" s="289"/>
      <c r="U43" s="287"/>
      <c r="V43" s="288"/>
      <c r="W43" s="289"/>
      <c r="X43" s="287"/>
      <c r="Y43" s="288"/>
      <c r="Z43" s="289"/>
      <c r="AA43" s="287"/>
    </row>
    <row r="44" spans="1:27" hidden="1" x14ac:dyDescent="0.2">
      <c r="A44" s="71"/>
      <c r="B44" s="71"/>
      <c r="C44" s="71"/>
      <c r="D44" s="71"/>
      <c r="E44" s="71"/>
      <c r="F44" s="71"/>
      <c r="G44" s="251"/>
      <c r="H44" s="252"/>
      <c r="I44" s="71"/>
      <c r="J44" s="251"/>
      <c r="K44" s="252"/>
      <c r="L44" s="71"/>
      <c r="M44" s="251"/>
      <c r="N44" s="252"/>
      <c r="O44" s="252"/>
      <c r="P44" s="280"/>
      <c r="Q44" s="252"/>
      <c r="R44" s="71"/>
      <c r="S44" s="288"/>
      <c r="T44" s="289"/>
      <c r="U44" s="287"/>
      <c r="V44" s="288"/>
      <c r="W44" s="289"/>
      <c r="X44" s="287"/>
      <c r="Y44" s="288"/>
      <c r="Z44" s="289"/>
      <c r="AA44" s="287"/>
    </row>
    <row r="45" spans="1:27" hidden="1" x14ac:dyDescent="0.2">
      <c r="A45" s="71"/>
      <c r="B45" s="71"/>
      <c r="C45" s="71"/>
      <c r="D45" s="71"/>
      <c r="E45" s="71"/>
      <c r="F45" s="71"/>
      <c r="G45" s="251"/>
      <c r="H45" s="252"/>
      <c r="I45" s="71"/>
      <c r="J45" s="251"/>
      <c r="K45" s="252"/>
      <c r="L45" s="71"/>
      <c r="M45" s="251"/>
      <c r="N45" s="252"/>
      <c r="O45" s="252"/>
      <c r="P45" s="280"/>
      <c r="Q45" s="252"/>
      <c r="R45" s="71"/>
      <c r="S45" s="288"/>
      <c r="T45" s="289"/>
      <c r="U45" s="287"/>
      <c r="V45" s="288"/>
      <c r="W45" s="289"/>
      <c r="X45" s="287"/>
      <c r="Y45" s="288"/>
      <c r="Z45" s="289"/>
      <c r="AA45" s="287"/>
    </row>
    <row r="46" spans="1:27" hidden="1" x14ac:dyDescent="0.2">
      <c r="A46" s="71"/>
      <c r="B46" s="71"/>
      <c r="C46" s="71"/>
      <c r="D46" s="71"/>
      <c r="E46" s="71"/>
      <c r="F46" s="71"/>
      <c r="G46" s="251"/>
      <c r="H46" s="252"/>
      <c r="I46" s="71"/>
      <c r="J46" s="251"/>
      <c r="K46" s="252"/>
      <c r="L46" s="71"/>
      <c r="M46" s="251"/>
      <c r="N46" s="252"/>
      <c r="O46" s="252"/>
      <c r="P46" s="280"/>
      <c r="Q46" s="252"/>
      <c r="R46" s="71"/>
      <c r="S46" s="288"/>
      <c r="T46" s="289"/>
      <c r="U46" s="287"/>
      <c r="V46" s="288"/>
      <c r="W46" s="289"/>
      <c r="X46" s="287"/>
      <c r="Y46" s="288"/>
      <c r="Z46" s="289"/>
      <c r="AA46" s="287"/>
    </row>
    <row r="47" spans="1:27" hidden="1" x14ac:dyDescent="0.2">
      <c r="A47" s="71"/>
      <c r="B47" s="71"/>
      <c r="C47" s="71"/>
      <c r="D47" s="71"/>
      <c r="E47" s="71"/>
      <c r="F47" s="71"/>
      <c r="G47" s="251"/>
      <c r="H47" s="252"/>
      <c r="I47" s="71"/>
      <c r="J47" s="251"/>
      <c r="K47" s="252"/>
      <c r="L47" s="71"/>
      <c r="M47" s="251"/>
      <c r="N47" s="252"/>
      <c r="O47" s="252"/>
      <c r="P47" s="280"/>
      <c r="Q47" s="252"/>
      <c r="R47" s="71"/>
      <c r="S47" s="288"/>
      <c r="T47" s="289"/>
      <c r="U47" s="287"/>
      <c r="V47" s="288"/>
      <c r="W47" s="289"/>
      <c r="X47" s="287"/>
      <c r="Y47" s="288"/>
      <c r="Z47" s="289"/>
      <c r="AA47" s="287"/>
    </row>
    <row r="48" spans="1:27" hidden="1" x14ac:dyDescent="0.2">
      <c r="A48" s="71"/>
      <c r="B48" s="71"/>
      <c r="C48" s="71"/>
      <c r="D48" s="71"/>
      <c r="E48" s="71"/>
      <c r="F48" s="71"/>
      <c r="G48" s="251"/>
      <c r="H48" s="252"/>
      <c r="I48" s="71"/>
      <c r="J48" s="251"/>
      <c r="K48" s="252"/>
      <c r="L48" s="71"/>
      <c r="M48" s="251"/>
      <c r="N48" s="252"/>
      <c r="O48" s="252"/>
      <c r="P48" s="280"/>
      <c r="Q48" s="252"/>
      <c r="R48" s="71"/>
      <c r="S48" s="288"/>
      <c r="T48" s="289"/>
      <c r="U48" s="287"/>
      <c r="V48" s="288"/>
      <c r="W48" s="289"/>
      <c r="X48" s="287"/>
      <c r="Y48" s="288"/>
      <c r="Z48" s="289"/>
      <c r="AA48" s="287"/>
    </row>
    <row r="49" spans="1:27" hidden="1" x14ac:dyDescent="0.2">
      <c r="A49" s="71"/>
      <c r="B49" s="71"/>
      <c r="C49" s="71"/>
      <c r="D49" s="71"/>
      <c r="E49" s="71"/>
      <c r="F49" s="71"/>
      <c r="G49" s="251"/>
      <c r="H49" s="252"/>
      <c r="I49" s="71"/>
      <c r="J49" s="251"/>
      <c r="K49" s="252"/>
      <c r="L49" s="71"/>
      <c r="M49" s="251"/>
      <c r="N49" s="252"/>
      <c r="O49" s="252"/>
      <c r="P49" s="280"/>
      <c r="Q49" s="252"/>
      <c r="R49" s="71"/>
      <c r="S49" s="288"/>
      <c r="T49" s="289"/>
      <c r="U49" s="287"/>
      <c r="V49" s="288"/>
      <c r="W49" s="289"/>
      <c r="X49" s="287"/>
      <c r="Y49" s="288"/>
      <c r="Z49" s="289"/>
      <c r="AA49" s="287"/>
    </row>
    <row r="50" spans="1:27" hidden="1" x14ac:dyDescent="0.2">
      <c r="A50" s="71"/>
      <c r="B50" s="71"/>
      <c r="C50" s="71"/>
      <c r="D50" s="71"/>
      <c r="E50" s="71"/>
      <c r="F50" s="71"/>
      <c r="G50" s="251"/>
      <c r="H50" s="252"/>
      <c r="I50" s="71"/>
      <c r="J50" s="251"/>
      <c r="K50" s="252"/>
      <c r="L50" s="71"/>
      <c r="M50" s="251"/>
      <c r="N50" s="252"/>
      <c r="O50" s="252"/>
      <c r="P50" s="280"/>
      <c r="Q50" s="252"/>
      <c r="R50" s="71"/>
      <c r="S50" s="288"/>
      <c r="T50" s="289"/>
      <c r="U50" s="287"/>
      <c r="V50" s="288"/>
      <c r="W50" s="289"/>
      <c r="X50" s="287"/>
      <c r="Y50" s="288"/>
      <c r="Z50" s="289"/>
      <c r="AA50" s="287"/>
    </row>
    <row r="51" spans="1:27" hidden="1" x14ac:dyDescent="0.2">
      <c r="A51" s="71"/>
      <c r="B51" s="71"/>
      <c r="C51" s="71"/>
      <c r="D51" s="71"/>
      <c r="E51" s="71"/>
      <c r="F51" s="71"/>
      <c r="G51" s="251"/>
      <c r="H51" s="252"/>
      <c r="I51" s="71"/>
      <c r="J51" s="251"/>
      <c r="K51" s="252"/>
      <c r="L51" s="71"/>
      <c r="M51" s="251"/>
      <c r="N51" s="252"/>
      <c r="O51" s="252"/>
      <c r="P51" s="280"/>
      <c r="Q51" s="252"/>
      <c r="R51" s="71"/>
      <c r="S51" s="288"/>
      <c r="T51" s="289"/>
      <c r="U51" s="287"/>
      <c r="V51" s="288"/>
      <c r="W51" s="289"/>
      <c r="X51" s="287"/>
      <c r="Y51" s="288"/>
      <c r="Z51" s="289"/>
      <c r="AA51" s="287"/>
    </row>
    <row r="52" spans="1:27" hidden="1" x14ac:dyDescent="0.2">
      <c r="A52" s="71"/>
      <c r="B52" s="71"/>
      <c r="C52" s="71"/>
      <c r="D52" s="71"/>
      <c r="E52" s="71"/>
      <c r="F52" s="71"/>
      <c r="G52" s="251"/>
      <c r="H52" s="252"/>
      <c r="I52" s="71"/>
      <c r="J52" s="251"/>
      <c r="K52" s="252"/>
      <c r="L52" s="71"/>
      <c r="M52" s="251"/>
      <c r="N52" s="252"/>
      <c r="O52" s="252"/>
      <c r="P52" s="280"/>
      <c r="Q52" s="252"/>
      <c r="R52" s="71"/>
      <c r="S52" s="288"/>
      <c r="T52" s="289"/>
      <c r="U52" s="287"/>
      <c r="V52" s="288"/>
      <c r="W52" s="289"/>
      <c r="X52" s="287"/>
      <c r="Y52" s="288"/>
      <c r="Z52" s="289"/>
      <c r="AA52" s="287"/>
    </row>
    <row r="53" spans="1:27" hidden="1" x14ac:dyDescent="0.2">
      <c r="A53" s="71"/>
      <c r="B53" s="71"/>
      <c r="C53" s="71"/>
      <c r="D53" s="71"/>
      <c r="E53" s="71"/>
      <c r="F53" s="71"/>
      <c r="G53" s="251"/>
      <c r="H53" s="252"/>
      <c r="I53" s="71"/>
      <c r="J53" s="251"/>
      <c r="K53" s="252"/>
      <c r="L53" s="71"/>
      <c r="M53" s="251"/>
      <c r="N53" s="252"/>
      <c r="O53" s="252"/>
      <c r="P53" s="280"/>
      <c r="Q53" s="252"/>
      <c r="R53" s="71"/>
      <c r="S53" s="288"/>
      <c r="T53" s="289"/>
      <c r="U53" s="287"/>
      <c r="V53" s="288"/>
      <c r="W53" s="289"/>
      <c r="X53" s="287"/>
      <c r="Y53" s="288"/>
      <c r="Z53" s="289"/>
      <c r="AA53" s="287"/>
    </row>
    <row r="54" spans="1:27" hidden="1" x14ac:dyDescent="0.2">
      <c r="A54" s="71"/>
      <c r="B54" s="71"/>
      <c r="C54" s="71"/>
      <c r="D54" s="71"/>
      <c r="E54" s="71"/>
      <c r="F54" s="71"/>
      <c r="G54" s="251"/>
      <c r="H54" s="252"/>
      <c r="I54" s="71"/>
      <c r="J54" s="251"/>
      <c r="K54" s="252"/>
      <c r="L54" s="71"/>
      <c r="M54" s="251"/>
      <c r="N54" s="252"/>
      <c r="O54" s="252"/>
      <c r="P54" s="280"/>
      <c r="Q54" s="252"/>
      <c r="R54" s="71"/>
      <c r="S54" s="288"/>
      <c r="T54" s="289"/>
      <c r="U54" s="287"/>
      <c r="V54" s="288"/>
      <c r="W54" s="289"/>
      <c r="X54" s="287"/>
      <c r="Y54" s="288"/>
      <c r="Z54" s="289"/>
      <c r="AA54" s="287"/>
    </row>
    <row r="55" spans="1:27" hidden="1" x14ac:dyDescent="0.2">
      <c r="A55" s="71"/>
      <c r="B55" s="71"/>
      <c r="C55" s="71"/>
      <c r="D55" s="71"/>
      <c r="E55" s="71"/>
      <c r="F55" s="71"/>
      <c r="G55" s="251"/>
      <c r="H55" s="252"/>
      <c r="I55" s="71"/>
      <c r="J55" s="251"/>
      <c r="K55" s="252"/>
      <c r="L55" s="71"/>
      <c r="M55" s="251"/>
      <c r="N55" s="252"/>
      <c r="O55" s="252"/>
      <c r="P55" s="280"/>
      <c r="Q55" s="252"/>
      <c r="R55" s="71"/>
      <c r="S55" s="288"/>
      <c r="T55" s="289"/>
      <c r="U55" s="287"/>
      <c r="V55" s="288"/>
      <c r="W55" s="289"/>
      <c r="X55" s="287"/>
      <c r="Y55" s="288"/>
      <c r="Z55" s="289"/>
      <c r="AA55" s="287"/>
    </row>
    <row r="56" spans="1:27" hidden="1" x14ac:dyDescent="0.2">
      <c r="A56" s="71"/>
      <c r="B56" s="71"/>
      <c r="C56" s="71"/>
      <c r="D56" s="71"/>
      <c r="E56" s="71"/>
      <c r="F56" s="71"/>
      <c r="G56" s="251"/>
      <c r="H56" s="252"/>
      <c r="I56" s="71"/>
      <c r="J56" s="251"/>
      <c r="K56" s="252"/>
      <c r="L56" s="71"/>
      <c r="M56" s="251"/>
      <c r="N56" s="252"/>
      <c r="O56" s="252"/>
      <c r="P56" s="280"/>
      <c r="Q56" s="252"/>
      <c r="R56" s="71"/>
      <c r="S56" s="288"/>
      <c r="T56" s="289"/>
      <c r="U56" s="287"/>
      <c r="V56" s="288"/>
      <c r="W56" s="289"/>
      <c r="X56" s="287"/>
      <c r="Y56" s="288"/>
      <c r="Z56" s="289"/>
      <c r="AA56" s="287"/>
    </row>
    <row r="57" spans="1:27" hidden="1" x14ac:dyDescent="0.2">
      <c r="A57" s="71"/>
      <c r="B57" s="71"/>
      <c r="C57" s="71"/>
      <c r="D57" s="71"/>
      <c r="E57" s="71"/>
      <c r="F57" s="71"/>
      <c r="G57" s="251"/>
      <c r="H57" s="252"/>
      <c r="I57" s="71"/>
      <c r="J57" s="251"/>
      <c r="K57" s="252"/>
      <c r="L57" s="71"/>
      <c r="M57" s="251"/>
      <c r="N57" s="252"/>
      <c r="O57" s="252"/>
      <c r="P57" s="280"/>
      <c r="Q57" s="252"/>
      <c r="R57" s="71"/>
      <c r="S57" s="288"/>
      <c r="T57" s="289"/>
      <c r="U57" s="287"/>
      <c r="V57" s="288"/>
      <c r="W57" s="289"/>
      <c r="X57" s="287"/>
      <c r="Y57" s="288"/>
      <c r="Z57" s="289"/>
      <c r="AA57" s="287"/>
    </row>
    <row r="58" spans="1:27" hidden="1" x14ac:dyDescent="0.2">
      <c r="A58" s="71"/>
      <c r="B58" s="71"/>
      <c r="C58" s="71"/>
      <c r="D58" s="71"/>
      <c r="E58" s="71"/>
      <c r="F58" s="71"/>
      <c r="G58" s="251"/>
      <c r="H58" s="252"/>
      <c r="I58" s="71"/>
      <c r="J58" s="251"/>
      <c r="K58" s="252"/>
      <c r="L58" s="71"/>
      <c r="M58" s="251"/>
      <c r="N58" s="252"/>
      <c r="O58" s="252"/>
      <c r="P58" s="280"/>
      <c r="Q58" s="252"/>
      <c r="R58" s="71"/>
      <c r="S58" s="288"/>
      <c r="T58" s="289"/>
      <c r="U58" s="287"/>
      <c r="V58" s="288"/>
      <c r="W58" s="289"/>
      <c r="X58" s="287"/>
      <c r="Y58" s="288"/>
      <c r="Z58" s="289"/>
      <c r="AA58" s="287"/>
    </row>
    <row r="59" spans="1:27" hidden="1" x14ac:dyDescent="0.2">
      <c r="A59" s="71"/>
      <c r="B59" s="71"/>
      <c r="C59" s="71"/>
      <c r="D59" s="71"/>
      <c r="E59" s="71"/>
      <c r="F59" s="71"/>
      <c r="G59" s="251"/>
      <c r="H59" s="252"/>
      <c r="I59" s="71"/>
      <c r="J59" s="251"/>
      <c r="K59" s="252"/>
      <c r="L59" s="71"/>
      <c r="M59" s="251"/>
      <c r="N59" s="252"/>
      <c r="O59" s="252"/>
      <c r="P59" s="280"/>
      <c r="Q59" s="252"/>
      <c r="R59" s="71"/>
      <c r="S59" s="288"/>
      <c r="T59" s="289"/>
      <c r="U59" s="287"/>
      <c r="V59" s="288"/>
      <c r="W59" s="289"/>
      <c r="X59" s="287"/>
      <c r="Y59" s="288"/>
      <c r="Z59" s="289"/>
      <c r="AA59" s="287"/>
    </row>
    <row r="60" spans="1:27" hidden="1" x14ac:dyDescent="0.2">
      <c r="A60" s="71"/>
      <c r="B60" s="71"/>
      <c r="C60" s="71"/>
      <c r="D60" s="71"/>
      <c r="E60" s="71"/>
      <c r="F60" s="71"/>
      <c r="G60" s="251"/>
      <c r="H60" s="252"/>
      <c r="I60" s="71"/>
      <c r="J60" s="251"/>
      <c r="K60" s="252"/>
      <c r="L60" s="71"/>
      <c r="M60" s="251"/>
      <c r="N60" s="252"/>
      <c r="O60" s="252"/>
      <c r="P60" s="280"/>
      <c r="Q60" s="252"/>
      <c r="R60" s="71"/>
      <c r="S60" s="288"/>
      <c r="T60" s="289"/>
      <c r="U60" s="287"/>
      <c r="V60" s="288"/>
      <c r="W60" s="289"/>
      <c r="X60" s="287"/>
      <c r="Y60" s="288"/>
      <c r="Z60" s="289"/>
      <c r="AA60" s="287"/>
    </row>
    <row r="61" spans="1:27" hidden="1" x14ac:dyDescent="0.2">
      <c r="A61" s="71"/>
      <c r="B61" s="71"/>
      <c r="C61" s="71"/>
      <c r="D61" s="71"/>
      <c r="E61" s="71"/>
      <c r="F61" s="71"/>
      <c r="G61" s="251"/>
      <c r="H61" s="252"/>
      <c r="I61" s="71"/>
      <c r="J61" s="251"/>
      <c r="K61" s="252"/>
      <c r="L61" s="71"/>
      <c r="M61" s="251"/>
      <c r="N61" s="252"/>
      <c r="O61" s="252"/>
      <c r="P61" s="280"/>
      <c r="Q61" s="252"/>
      <c r="R61" s="71"/>
      <c r="S61" s="288"/>
      <c r="T61" s="289"/>
      <c r="U61" s="287"/>
      <c r="V61" s="288"/>
      <c r="W61" s="289"/>
      <c r="X61" s="287"/>
      <c r="Y61" s="288"/>
      <c r="Z61" s="289"/>
      <c r="AA61" s="287"/>
    </row>
    <row r="62" spans="1:27" hidden="1" x14ac:dyDescent="0.2">
      <c r="A62" s="71"/>
      <c r="B62" s="71"/>
      <c r="C62" s="71"/>
      <c r="D62" s="71"/>
      <c r="E62" s="71"/>
      <c r="F62" s="71"/>
      <c r="G62" s="251"/>
      <c r="H62" s="252"/>
      <c r="I62" s="71"/>
      <c r="J62" s="251"/>
      <c r="K62" s="252"/>
      <c r="L62" s="71"/>
      <c r="M62" s="251"/>
      <c r="N62" s="252"/>
      <c r="O62" s="252"/>
      <c r="P62" s="280"/>
      <c r="Q62" s="252"/>
      <c r="R62" s="71"/>
      <c r="S62" s="288"/>
      <c r="T62" s="289"/>
      <c r="U62" s="287"/>
      <c r="V62" s="288"/>
      <c r="W62" s="289"/>
      <c r="X62" s="287"/>
      <c r="Y62" s="288"/>
      <c r="Z62" s="289"/>
      <c r="AA62" s="287"/>
    </row>
    <row r="63" spans="1:27" hidden="1" x14ac:dyDescent="0.2">
      <c r="A63" s="71"/>
      <c r="B63" s="71"/>
      <c r="C63" s="71"/>
      <c r="D63" s="71"/>
      <c r="E63" s="71"/>
      <c r="F63" s="71"/>
      <c r="G63" s="251"/>
      <c r="H63" s="252"/>
      <c r="I63" s="71"/>
      <c r="J63" s="251"/>
      <c r="K63" s="252"/>
      <c r="L63" s="71"/>
      <c r="M63" s="251"/>
      <c r="N63" s="252"/>
      <c r="O63" s="252"/>
      <c r="P63" s="280"/>
      <c r="Q63" s="252"/>
      <c r="R63" s="71"/>
      <c r="S63" s="288"/>
      <c r="T63" s="289"/>
      <c r="U63" s="287"/>
      <c r="V63" s="288"/>
      <c r="W63" s="289"/>
      <c r="X63" s="287"/>
      <c r="Y63" s="288"/>
      <c r="Z63" s="289"/>
      <c r="AA63" s="287"/>
    </row>
    <row r="64" spans="1:27" hidden="1" x14ac:dyDescent="0.2">
      <c r="A64" s="71"/>
      <c r="B64" s="71"/>
      <c r="C64" s="71"/>
      <c r="D64" s="71"/>
      <c r="E64" s="71"/>
      <c r="F64" s="71"/>
      <c r="G64" s="251"/>
      <c r="H64" s="252"/>
      <c r="I64" s="71"/>
      <c r="J64" s="251"/>
      <c r="K64" s="252"/>
      <c r="L64" s="71"/>
      <c r="M64" s="251"/>
      <c r="N64" s="252"/>
      <c r="O64" s="252"/>
      <c r="P64" s="280"/>
      <c r="Q64" s="252"/>
      <c r="R64" s="71"/>
      <c r="S64" s="288"/>
      <c r="T64" s="289"/>
      <c r="U64" s="287"/>
      <c r="V64" s="288"/>
      <c r="W64" s="289"/>
      <c r="X64" s="287"/>
      <c r="Y64" s="288"/>
      <c r="Z64" s="289"/>
      <c r="AA64" s="287"/>
    </row>
    <row r="65" spans="1:27" hidden="1" x14ac:dyDescent="0.2">
      <c r="A65" s="71"/>
      <c r="B65" s="71"/>
      <c r="C65" s="71"/>
      <c r="D65" s="71"/>
      <c r="E65" s="71"/>
      <c r="F65" s="71"/>
      <c r="G65" s="251"/>
      <c r="H65" s="252"/>
      <c r="I65" s="71"/>
      <c r="J65" s="251"/>
      <c r="K65" s="252"/>
      <c r="L65" s="71"/>
      <c r="M65" s="251"/>
      <c r="N65" s="252"/>
      <c r="O65" s="252"/>
      <c r="P65" s="280"/>
      <c r="Q65" s="252"/>
      <c r="R65" s="71"/>
      <c r="S65" s="288"/>
      <c r="T65" s="289"/>
      <c r="U65" s="287"/>
      <c r="V65" s="288"/>
      <c r="W65" s="289"/>
      <c r="X65" s="287"/>
      <c r="Y65" s="288"/>
      <c r="Z65" s="289"/>
      <c r="AA65" s="287"/>
    </row>
    <row r="66" spans="1:27" hidden="1" x14ac:dyDescent="0.2">
      <c r="A66" s="71"/>
      <c r="B66" s="71"/>
      <c r="C66" s="71"/>
      <c r="D66" s="71"/>
      <c r="E66" s="71"/>
      <c r="F66" s="71"/>
      <c r="G66" s="251"/>
      <c r="H66" s="252"/>
      <c r="I66" s="71"/>
      <c r="J66" s="251"/>
      <c r="K66" s="252"/>
      <c r="L66" s="71"/>
      <c r="M66" s="251"/>
      <c r="N66" s="252"/>
      <c r="O66" s="252"/>
      <c r="P66" s="280"/>
      <c r="Q66" s="252"/>
      <c r="R66" s="71"/>
      <c r="S66" s="288"/>
      <c r="T66" s="289"/>
      <c r="U66" s="287"/>
      <c r="V66" s="288"/>
      <c r="W66" s="289"/>
      <c r="X66" s="287"/>
      <c r="Y66" s="288"/>
      <c r="Z66" s="289"/>
      <c r="AA66" s="287"/>
    </row>
    <row r="67" spans="1:27" hidden="1" x14ac:dyDescent="0.2">
      <c r="A67" s="71"/>
      <c r="B67" s="71"/>
      <c r="C67" s="71"/>
      <c r="D67" s="71"/>
      <c r="E67" s="71"/>
      <c r="F67" s="71"/>
      <c r="G67" s="251"/>
      <c r="H67" s="252"/>
      <c r="I67" s="71"/>
      <c r="J67" s="251"/>
      <c r="K67" s="252"/>
      <c r="L67" s="71"/>
      <c r="M67" s="251"/>
      <c r="N67" s="252"/>
      <c r="O67" s="252"/>
      <c r="P67" s="280"/>
      <c r="Q67" s="252"/>
      <c r="R67" s="71"/>
      <c r="S67" s="288"/>
      <c r="T67" s="289"/>
      <c r="U67" s="287"/>
      <c r="V67" s="288"/>
      <c r="W67" s="289"/>
      <c r="X67" s="287"/>
      <c r="Y67" s="288"/>
      <c r="Z67" s="289"/>
      <c r="AA67" s="287"/>
    </row>
    <row r="68" spans="1:27" hidden="1" x14ac:dyDescent="0.2">
      <c r="A68" s="71"/>
      <c r="B68" s="71"/>
      <c r="C68" s="71"/>
      <c r="D68" s="71"/>
      <c r="E68" s="71"/>
      <c r="F68" s="71"/>
      <c r="G68" s="251"/>
      <c r="H68" s="252"/>
      <c r="I68" s="71"/>
      <c r="J68" s="251"/>
      <c r="K68" s="252"/>
      <c r="L68" s="71"/>
      <c r="M68" s="251"/>
      <c r="N68" s="252"/>
      <c r="O68" s="252"/>
      <c r="P68" s="280"/>
      <c r="Q68" s="252"/>
      <c r="R68" s="71"/>
      <c r="S68" s="288"/>
      <c r="T68" s="289"/>
      <c r="U68" s="287"/>
      <c r="V68" s="288"/>
      <c r="W68" s="289"/>
      <c r="X68" s="287"/>
      <c r="Y68" s="288"/>
      <c r="Z68" s="289"/>
      <c r="AA68" s="287"/>
    </row>
    <row r="69" spans="1:27" hidden="1" x14ac:dyDescent="0.2">
      <c r="A69" s="71"/>
      <c r="B69" s="71"/>
      <c r="C69" s="71"/>
      <c r="D69" s="71"/>
      <c r="E69" s="71"/>
      <c r="F69" s="71"/>
      <c r="G69" s="251"/>
      <c r="H69" s="252"/>
      <c r="I69" s="71"/>
      <c r="J69" s="251"/>
      <c r="K69" s="252"/>
      <c r="L69" s="71"/>
      <c r="M69" s="251"/>
      <c r="N69" s="252"/>
      <c r="O69" s="252"/>
      <c r="P69" s="280"/>
      <c r="Q69" s="252"/>
      <c r="R69" s="71"/>
      <c r="S69" s="288"/>
      <c r="T69" s="289"/>
      <c r="U69" s="287"/>
      <c r="V69" s="288"/>
      <c r="W69" s="289"/>
      <c r="X69" s="287"/>
      <c r="Y69" s="288"/>
      <c r="Z69" s="289"/>
      <c r="AA69" s="287"/>
    </row>
    <row r="70" spans="1:27" hidden="1" x14ac:dyDescent="0.2">
      <c r="A70" s="71"/>
      <c r="B70" s="71"/>
      <c r="C70" s="71"/>
      <c r="D70" s="71"/>
      <c r="E70" s="71"/>
      <c r="F70" s="71"/>
      <c r="G70" s="251"/>
      <c r="H70" s="252"/>
      <c r="I70" s="71"/>
      <c r="J70" s="251"/>
      <c r="K70" s="252"/>
      <c r="L70" s="71"/>
      <c r="M70" s="251"/>
      <c r="N70" s="252"/>
      <c r="O70" s="252"/>
      <c r="P70" s="280"/>
      <c r="Q70" s="252"/>
      <c r="R70" s="71"/>
      <c r="S70" s="288"/>
      <c r="T70" s="289"/>
      <c r="U70" s="287"/>
      <c r="V70" s="288"/>
      <c r="W70" s="289"/>
      <c r="X70" s="287"/>
      <c r="Y70" s="288"/>
      <c r="Z70" s="289"/>
      <c r="AA70" s="287"/>
    </row>
    <row r="71" spans="1:27" hidden="1" x14ac:dyDescent="0.2">
      <c r="A71" s="71"/>
      <c r="B71" s="71"/>
      <c r="C71" s="71"/>
      <c r="D71" s="71"/>
      <c r="E71" s="71"/>
      <c r="F71" s="71"/>
      <c r="G71" s="251"/>
      <c r="H71" s="252"/>
      <c r="I71" s="71"/>
      <c r="J71" s="251"/>
      <c r="K71" s="252"/>
      <c r="L71" s="71"/>
      <c r="M71" s="251"/>
      <c r="N71" s="252"/>
      <c r="O71" s="252"/>
      <c r="P71" s="280"/>
      <c r="Q71" s="252"/>
      <c r="R71" s="71"/>
      <c r="S71" s="288"/>
      <c r="T71" s="289"/>
      <c r="U71" s="287"/>
      <c r="V71" s="288"/>
      <c r="W71" s="289"/>
      <c r="X71" s="287"/>
      <c r="Y71" s="288"/>
      <c r="Z71" s="289"/>
      <c r="AA71" s="287"/>
    </row>
    <row r="72" spans="1:27" hidden="1" x14ac:dyDescent="0.2">
      <c r="A72" s="71"/>
      <c r="B72" s="71"/>
      <c r="C72" s="71"/>
      <c r="D72" s="71"/>
      <c r="E72" s="71"/>
      <c r="F72" s="71"/>
      <c r="G72" s="251"/>
      <c r="H72" s="252"/>
      <c r="I72" s="71"/>
      <c r="J72" s="251"/>
      <c r="K72" s="252"/>
      <c r="L72" s="71"/>
      <c r="M72" s="251"/>
      <c r="N72" s="252"/>
      <c r="O72" s="252"/>
      <c r="P72" s="280"/>
      <c r="Q72" s="252"/>
      <c r="R72" s="71"/>
      <c r="S72" s="288"/>
      <c r="T72" s="289"/>
      <c r="U72" s="287"/>
      <c r="V72" s="288"/>
      <c r="W72" s="289"/>
      <c r="X72" s="287"/>
      <c r="Y72" s="288"/>
      <c r="Z72" s="289"/>
      <c r="AA72" s="287"/>
    </row>
    <row r="73" spans="1:27" hidden="1" x14ac:dyDescent="0.2">
      <c r="A73" s="71"/>
      <c r="B73" s="71"/>
      <c r="C73" s="71"/>
      <c r="D73" s="71"/>
      <c r="E73" s="71"/>
      <c r="F73" s="71"/>
      <c r="G73" s="251"/>
      <c r="H73" s="252"/>
      <c r="I73" s="71"/>
      <c r="J73" s="251"/>
      <c r="K73" s="252"/>
      <c r="L73" s="71"/>
      <c r="M73" s="251"/>
      <c r="N73" s="252"/>
      <c r="O73" s="252"/>
      <c r="P73" s="280"/>
      <c r="Q73" s="252"/>
      <c r="R73" s="71"/>
      <c r="S73" s="288"/>
      <c r="T73" s="289"/>
      <c r="U73" s="287"/>
      <c r="V73" s="288"/>
      <c r="W73" s="289"/>
      <c r="X73" s="287"/>
      <c r="Y73" s="288"/>
      <c r="Z73" s="289"/>
      <c r="AA73" s="287"/>
    </row>
    <row r="74" spans="1:27" hidden="1" x14ac:dyDescent="0.2">
      <c r="A74" s="71"/>
      <c r="B74" s="71"/>
      <c r="C74" s="71"/>
      <c r="D74" s="71"/>
      <c r="E74" s="71"/>
      <c r="F74" s="71"/>
      <c r="G74" s="251"/>
      <c r="H74" s="252"/>
      <c r="I74" s="71"/>
      <c r="J74" s="251"/>
      <c r="K74" s="252"/>
      <c r="L74" s="71"/>
      <c r="M74" s="251"/>
      <c r="N74" s="252"/>
      <c r="O74" s="252"/>
      <c r="P74" s="280"/>
      <c r="Q74" s="252"/>
      <c r="R74" s="71"/>
      <c r="S74" s="288"/>
      <c r="T74" s="289"/>
      <c r="U74" s="287"/>
      <c r="V74" s="288"/>
      <c r="W74" s="289"/>
      <c r="X74" s="287"/>
      <c r="Y74" s="288"/>
      <c r="Z74" s="289"/>
      <c r="AA74" s="287"/>
    </row>
    <row r="75" spans="1:27" hidden="1" x14ac:dyDescent="0.2">
      <c r="A75" s="71"/>
      <c r="B75" s="71"/>
      <c r="C75" s="71"/>
      <c r="D75" s="71"/>
      <c r="E75" s="71"/>
      <c r="F75" s="71"/>
      <c r="G75" s="251"/>
      <c r="H75" s="252"/>
      <c r="I75" s="71"/>
      <c r="J75" s="251"/>
      <c r="K75" s="252"/>
      <c r="L75" s="71"/>
      <c r="M75" s="251"/>
      <c r="N75" s="252"/>
      <c r="O75" s="252"/>
      <c r="P75" s="280"/>
      <c r="Q75" s="252"/>
      <c r="R75" s="71"/>
      <c r="S75" s="288"/>
      <c r="T75" s="289"/>
      <c r="U75" s="287"/>
      <c r="V75" s="288"/>
      <c r="W75" s="289"/>
      <c r="X75" s="287"/>
      <c r="Y75" s="288"/>
      <c r="Z75" s="289"/>
      <c r="AA75" s="287"/>
    </row>
    <row r="76" spans="1:27" hidden="1" x14ac:dyDescent="0.2">
      <c r="A76" s="71"/>
      <c r="B76" s="71"/>
      <c r="C76" s="71"/>
      <c r="D76" s="71"/>
      <c r="E76" s="71"/>
      <c r="F76" s="71"/>
      <c r="G76" s="251"/>
      <c r="H76" s="252"/>
      <c r="I76" s="71"/>
      <c r="J76" s="251"/>
      <c r="K76" s="252"/>
      <c r="L76" s="71"/>
      <c r="M76" s="251"/>
      <c r="N76" s="252"/>
      <c r="O76" s="252"/>
      <c r="P76" s="280"/>
      <c r="Q76" s="252"/>
      <c r="R76" s="71"/>
      <c r="S76" s="288"/>
      <c r="T76" s="289"/>
      <c r="U76" s="287"/>
      <c r="V76" s="288"/>
      <c r="W76" s="289"/>
      <c r="X76" s="287"/>
      <c r="Y76" s="288"/>
      <c r="Z76" s="289"/>
      <c r="AA76" s="287"/>
    </row>
    <row r="77" spans="1:27" hidden="1" x14ac:dyDescent="0.2">
      <c r="A77" s="71"/>
      <c r="B77" s="71"/>
      <c r="C77" s="71"/>
      <c r="D77" s="71"/>
      <c r="E77" s="71"/>
      <c r="F77" s="71"/>
      <c r="G77" s="251"/>
      <c r="H77" s="252"/>
      <c r="I77" s="71"/>
      <c r="J77" s="251"/>
      <c r="K77" s="252"/>
      <c r="L77" s="71"/>
      <c r="M77" s="251"/>
      <c r="N77" s="252"/>
      <c r="O77" s="252"/>
      <c r="P77" s="280"/>
      <c r="Q77" s="252"/>
      <c r="R77" s="71"/>
      <c r="S77" s="288"/>
      <c r="T77" s="289"/>
      <c r="U77" s="287"/>
      <c r="V77" s="288"/>
      <c r="W77" s="289"/>
      <c r="X77" s="287"/>
      <c r="Y77" s="288"/>
      <c r="Z77" s="289"/>
      <c r="AA77" s="287"/>
    </row>
    <row r="78" spans="1:27" hidden="1" x14ac:dyDescent="0.2">
      <c r="A78" s="71"/>
      <c r="B78" s="71"/>
      <c r="C78" s="71"/>
      <c r="D78" s="71"/>
      <c r="E78" s="71"/>
      <c r="F78" s="71"/>
      <c r="G78" s="251"/>
      <c r="H78" s="252"/>
      <c r="I78" s="71"/>
      <c r="J78" s="251"/>
      <c r="K78" s="252"/>
      <c r="L78" s="71"/>
      <c r="M78" s="251"/>
      <c r="N78" s="252"/>
      <c r="O78" s="252"/>
      <c r="P78" s="280"/>
      <c r="Q78" s="252"/>
      <c r="R78" s="71"/>
      <c r="S78" s="288"/>
      <c r="T78" s="289"/>
      <c r="U78" s="287"/>
      <c r="V78" s="288"/>
      <c r="W78" s="289"/>
      <c r="X78" s="287"/>
      <c r="Y78" s="288"/>
      <c r="Z78" s="289"/>
      <c r="AA78" s="287"/>
    </row>
    <row r="79" spans="1:27" hidden="1" x14ac:dyDescent="0.2">
      <c r="A79" s="71"/>
      <c r="B79" s="71"/>
      <c r="C79" s="71"/>
      <c r="D79" s="71"/>
      <c r="E79" s="71"/>
      <c r="F79" s="71"/>
      <c r="G79" s="251"/>
      <c r="H79" s="252"/>
      <c r="I79" s="71"/>
      <c r="J79" s="251"/>
      <c r="K79" s="252"/>
      <c r="L79" s="71"/>
      <c r="M79" s="251"/>
      <c r="N79" s="252"/>
      <c r="O79" s="252"/>
      <c r="P79" s="280"/>
      <c r="Q79" s="252"/>
      <c r="R79" s="71"/>
      <c r="S79" s="288"/>
      <c r="T79" s="289"/>
      <c r="U79" s="287"/>
      <c r="V79" s="288"/>
      <c r="W79" s="289"/>
      <c r="X79" s="287"/>
      <c r="Y79" s="288"/>
      <c r="Z79" s="289"/>
      <c r="AA79" s="287"/>
    </row>
    <row r="80" spans="1:27" hidden="1" x14ac:dyDescent="0.2">
      <c r="A80" s="71"/>
      <c r="B80" s="71"/>
      <c r="C80" s="71"/>
      <c r="D80" s="71"/>
      <c r="E80" s="71"/>
      <c r="F80" s="71"/>
      <c r="G80" s="251"/>
      <c r="H80" s="252"/>
      <c r="I80" s="71"/>
      <c r="J80" s="251"/>
      <c r="K80" s="252"/>
      <c r="L80" s="71"/>
      <c r="M80" s="251"/>
      <c r="N80" s="252"/>
      <c r="O80" s="252"/>
      <c r="P80" s="280"/>
      <c r="Q80" s="252"/>
      <c r="R80" s="71"/>
      <c r="S80" s="288"/>
      <c r="T80" s="289"/>
      <c r="U80" s="287"/>
      <c r="V80" s="288"/>
      <c r="W80" s="289"/>
      <c r="X80" s="287"/>
      <c r="Y80" s="288"/>
      <c r="Z80" s="289"/>
      <c r="AA80" s="287"/>
    </row>
    <row r="81" spans="1:27" hidden="1" x14ac:dyDescent="0.2">
      <c r="A81" s="71"/>
      <c r="B81" s="71"/>
      <c r="C81" s="71"/>
      <c r="D81" s="71"/>
      <c r="E81" s="71"/>
      <c r="F81" s="71"/>
      <c r="G81" s="251"/>
      <c r="H81" s="252"/>
      <c r="I81" s="71"/>
      <c r="J81" s="251"/>
      <c r="K81" s="252"/>
      <c r="L81" s="71"/>
      <c r="M81" s="251"/>
      <c r="N81" s="252"/>
      <c r="O81" s="252"/>
      <c r="P81" s="280"/>
      <c r="Q81" s="252"/>
      <c r="R81" s="71"/>
      <c r="S81" s="288"/>
      <c r="T81" s="289"/>
      <c r="U81" s="287"/>
      <c r="V81" s="288"/>
      <c r="W81" s="289"/>
      <c r="X81" s="287"/>
      <c r="Y81" s="288"/>
      <c r="Z81" s="289"/>
      <c r="AA81" s="287"/>
    </row>
    <row r="82" spans="1:27" hidden="1" x14ac:dyDescent="0.2">
      <c r="A82" s="71"/>
      <c r="B82" s="71"/>
      <c r="C82" s="71"/>
      <c r="D82" s="71"/>
      <c r="E82" s="71"/>
      <c r="F82" s="71"/>
      <c r="G82" s="251"/>
      <c r="H82" s="252"/>
      <c r="I82" s="71"/>
      <c r="J82" s="251"/>
      <c r="K82" s="252"/>
      <c r="L82" s="71"/>
      <c r="M82" s="251"/>
      <c r="N82" s="252"/>
      <c r="O82" s="252"/>
      <c r="P82" s="280"/>
      <c r="Q82" s="252"/>
      <c r="R82" s="71"/>
      <c r="S82" s="288"/>
      <c r="T82" s="289"/>
      <c r="U82" s="287"/>
      <c r="V82" s="288"/>
      <c r="W82" s="289"/>
      <c r="X82" s="287"/>
      <c r="Y82" s="288"/>
      <c r="Z82" s="289"/>
      <c r="AA82" s="287"/>
    </row>
    <row r="83" spans="1:27" hidden="1" x14ac:dyDescent="0.2">
      <c r="A83" s="71"/>
      <c r="B83" s="71"/>
      <c r="C83" s="71"/>
      <c r="D83" s="71"/>
      <c r="E83" s="71"/>
      <c r="F83" s="71"/>
      <c r="G83" s="251"/>
      <c r="H83" s="252"/>
      <c r="I83" s="71"/>
      <c r="J83" s="251"/>
      <c r="K83" s="252"/>
      <c r="L83" s="71"/>
      <c r="M83" s="251"/>
      <c r="N83" s="252"/>
      <c r="O83" s="252"/>
      <c r="P83" s="280"/>
      <c r="Q83" s="252"/>
      <c r="R83" s="71"/>
      <c r="S83" s="288"/>
      <c r="T83" s="289"/>
      <c r="U83" s="287"/>
      <c r="V83" s="288"/>
      <c r="W83" s="289"/>
      <c r="X83" s="287"/>
      <c r="Y83" s="288"/>
      <c r="Z83" s="289"/>
      <c r="AA83" s="287"/>
    </row>
    <row r="84" spans="1:27" hidden="1" x14ac:dyDescent="0.2">
      <c r="A84" s="71"/>
      <c r="B84" s="71"/>
      <c r="C84" s="71"/>
      <c r="D84" s="71"/>
      <c r="E84" s="71"/>
      <c r="F84" s="71"/>
      <c r="G84" s="251"/>
      <c r="H84" s="252"/>
      <c r="I84" s="71"/>
      <c r="J84" s="251"/>
      <c r="K84" s="252"/>
      <c r="L84" s="71"/>
      <c r="M84" s="251"/>
      <c r="N84" s="252"/>
      <c r="O84" s="252"/>
      <c r="P84" s="280"/>
      <c r="Q84" s="252"/>
      <c r="R84" s="71"/>
      <c r="S84" s="288"/>
      <c r="T84" s="289"/>
      <c r="U84" s="287"/>
      <c r="V84" s="288"/>
      <c r="W84" s="289"/>
      <c r="X84" s="287"/>
      <c r="Y84" s="288"/>
      <c r="Z84" s="289"/>
      <c r="AA84" s="287"/>
    </row>
    <row r="85" spans="1:27" hidden="1" x14ac:dyDescent="0.2">
      <c r="A85" s="71"/>
      <c r="B85" s="71"/>
      <c r="C85" s="71"/>
      <c r="D85" s="71"/>
      <c r="E85" s="71"/>
      <c r="F85" s="71"/>
      <c r="G85" s="251"/>
      <c r="H85" s="252"/>
      <c r="I85" s="71"/>
      <c r="J85" s="251"/>
      <c r="K85" s="252"/>
      <c r="L85" s="71"/>
      <c r="M85" s="251"/>
      <c r="N85" s="252"/>
      <c r="O85" s="252"/>
      <c r="P85" s="280"/>
      <c r="Q85" s="252"/>
      <c r="R85" s="71"/>
      <c r="S85" s="288"/>
      <c r="T85" s="289"/>
      <c r="U85" s="287"/>
      <c r="V85" s="288"/>
      <c r="W85" s="289"/>
      <c r="X85" s="287"/>
      <c r="Y85" s="288"/>
      <c r="Z85" s="289"/>
      <c r="AA85" s="287"/>
    </row>
    <row r="86" spans="1:27" hidden="1" x14ac:dyDescent="0.2">
      <c r="A86" s="71"/>
      <c r="B86" s="71"/>
      <c r="C86" s="71"/>
      <c r="D86" s="71"/>
      <c r="E86" s="71"/>
      <c r="F86" s="71"/>
      <c r="G86" s="251"/>
      <c r="H86" s="252"/>
      <c r="I86" s="71"/>
      <c r="J86" s="251"/>
      <c r="K86" s="252"/>
      <c r="L86" s="71"/>
      <c r="M86" s="251"/>
      <c r="N86" s="252"/>
      <c r="O86" s="252"/>
      <c r="P86" s="280"/>
      <c r="Q86" s="252"/>
      <c r="R86" s="71"/>
      <c r="S86" s="288"/>
      <c r="T86" s="289"/>
      <c r="U86" s="287"/>
      <c r="V86" s="288"/>
      <c r="W86" s="289"/>
      <c r="X86" s="287"/>
      <c r="Y86" s="288"/>
      <c r="Z86" s="289"/>
      <c r="AA86" s="287"/>
    </row>
    <row r="87" spans="1:27" hidden="1" x14ac:dyDescent="0.2">
      <c r="A87" s="71"/>
      <c r="B87" s="71"/>
      <c r="C87" s="71"/>
      <c r="D87" s="71"/>
      <c r="E87" s="71"/>
      <c r="F87" s="71"/>
      <c r="G87" s="251"/>
      <c r="H87" s="252"/>
      <c r="I87" s="71"/>
      <c r="J87" s="251"/>
      <c r="K87" s="252"/>
      <c r="L87" s="71"/>
      <c r="M87" s="251"/>
      <c r="N87" s="252"/>
      <c r="O87" s="252"/>
      <c r="P87" s="280"/>
      <c r="Q87" s="252"/>
      <c r="R87" s="71"/>
      <c r="S87" s="288"/>
      <c r="T87" s="289"/>
      <c r="U87" s="287"/>
      <c r="V87" s="288"/>
      <c r="W87" s="289"/>
      <c r="X87" s="287"/>
      <c r="Y87" s="288"/>
      <c r="Z87" s="289"/>
      <c r="AA87" s="287"/>
    </row>
    <row r="88" spans="1:27" hidden="1" x14ac:dyDescent="0.2">
      <c r="A88" s="71"/>
      <c r="B88" s="71"/>
      <c r="C88" s="71"/>
      <c r="D88" s="71"/>
      <c r="E88" s="71"/>
      <c r="F88" s="71"/>
      <c r="G88" s="251"/>
      <c r="H88" s="252"/>
      <c r="I88" s="71"/>
      <c r="J88" s="251"/>
      <c r="K88" s="252"/>
      <c r="L88" s="71"/>
      <c r="M88" s="251"/>
      <c r="N88" s="252"/>
      <c r="O88" s="252"/>
      <c r="P88" s="280"/>
      <c r="Q88" s="252"/>
      <c r="R88" s="71"/>
      <c r="S88" s="288"/>
      <c r="T88" s="289"/>
      <c r="U88" s="287"/>
      <c r="V88" s="288"/>
      <c r="W88" s="289"/>
      <c r="X88" s="287"/>
      <c r="Y88" s="288"/>
      <c r="Z88" s="289"/>
      <c r="AA88" s="287"/>
    </row>
    <row r="89" spans="1:27" hidden="1" x14ac:dyDescent="0.2">
      <c r="A89" s="71"/>
      <c r="B89" s="71"/>
      <c r="C89" s="71"/>
      <c r="D89" s="71"/>
      <c r="E89" s="71"/>
      <c r="F89" s="71"/>
      <c r="G89" s="251"/>
      <c r="H89" s="252"/>
      <c r="I89" s="71"/>
      <c r="J89" s="251"/>
      <c r="K89" s="252"/>
      <c r="L89" s="71"/>
      <c r="M89" s="251"/>
      <c r="N89" s="252"/>
      <c r="O89" s="252"/>
      <c r="P89" s="280"/>
      <c r="Q89" s="252"/>
      <c r="R89" s="71"/>
      <c r="S89" s="288"/>
      <c r="T89" s="289"/>
      <c r="U89" s="287"/>
      <c r="V89" s="288"/>
      <c r="W89" s="289"/>
      <c r="X89" s="287"/>
      <c r="Y89" s="288"/>
      <c r="Z89" s="289"/>
      <c r="AA89" s="287"/>
    </row>
    <row r="90" spans="1:27" hidden="1" x14ac:dyDescent="0.2">
      <c r="A90" s="71"/>
      <c r="B90" s="71"/>
      <c r="C90" s="71"/>
      <c r="D90" s="71"/>
      <c r="E90" s="71"/>
      <c r="F90" s="71"/>
      <c r="G90" s="251"/>
      <c r="H90" s="252"/>
      <c r="I90" s="71"/>
      <c r="J90" s="251"/>
      <c r="K90" s="252"/>
      <c r="L90" s="71"/>
      <c r="M90" s="251"/>
      <c r="N90" s="252"/>
      <c r="O90" s="252"/>
      <c r="P90" s="280"/>
      <c r="Q90" s="252"/>
      <c r="R90" s="71"/>
      <c r="S90" s="288"/>
      <c r="T90" s="289"/>
      <c r="U90" s="287"/>
      <c r="V90" s="288"/>
      <c r="W90" s="289"/>
      <c r="X90" s="287"/>
      <c r="Y90" s="288"/>
      <c r="Z90" s="289"/>
      <c r="AA90" s="287"/>
    </row>
    <row r="91" spans="1:27" hidden="1" x14ac:dyDescent="0.2">
      <c r="A91" s="71"/>
      <c r="B91" s="71"/>
      <c r="C91" s="71"/>
      <c r="D91" s="71"/>
      <c r="E91" s="71"/>
      <c r="F91" s="71"/>
      <c r="G91" s="251"/>
      <c r="H91" s="252"/>
      <c r="I91" s="71"/>
      <c r="J91" s="251"/>
      <c r="K91" s="252"/>
      <c r="L91" s="71"/>
      <c r="M91" s="251"/>
      <c r="N91" s="252"/>
      <c r="O91" s="252"/>
      <c r="P91" s="280"/>
      <c r="Q91" s="252"/>
      <c r="R91" s="71"/>
      <c r="S91" s="288"/>
      <c r="T91" s="289"/>
      <c r="U91" s="287"/>
      <c r="V91" s="288"/>
      <c r="W91" s="289"/>
      <c r="X91" s="287"/>
      <c r="Y91" s="288"/>
      <c r="Z91" s="289"/>
      <c r="AA91" s="287"/>
    </row>
    <row r="92" spans="1:27" hidden="1" x14ac:dyDescent="0.2">
      <c r="A92" s="71"/>
      <c r="B92" s="71"/>
      <c r="C92" s="71"/>
      <c r="D92" s="71"/>
      <c r="E92" s="71"/>
      <c r="F92" s="71"/>
      <c r="G92" s="251"/>
      <c r="H92" s="252"/>
      <c r="I92" s="71"/>
      <c r="J92" s="251"/>
      <c r="K92" s="252"/>
      <c r="L92" s="71"/>
      <c r="M92" s="251"/>
      <c r="N92" s="252"/>
      <c r="O92" s="252"/>
      <c r="P92" s="280"/>
      <c r="Q92" s="252"/>
      <c r="R92" s="71"/>
      <c r="S92" s="288"/>
      <c r="T92" s="289"/>
      <c r="U92" s="287"/>
      <c r="V92" s="288"/>
      <c r="W92" s="289"/>
      <c r="X92" s="287"/>
      <c r="Y92" s="288"/>
      <c r="Z92" s="289"/>
      <c r="AA92" s="287"/>
    </row>
    <row r="93" spans="1:27" hidden="1" x14ac:dyDescent="0.2">
      <c r="A93" s="71"/>
      <c r="B93" s="71"/>
      <c r="C93" s="71"/>
      <c r="D93" s="71"/>
      <c r="E93" s="71"/>
      <c r="F93" s="71"/>
      <c r="G93" s="251"/>
      <c r="H93" s="252"/>
      <c r="I93" s="71"/>
      <c r="J93" s="251"/>
      <c r="K93" s="252"/>
      <c r="L93" s="71"/>
      <c r="M93" s="251"/>
      <c r="N93" s="252"/>
      <c r="O93" s="252"/>
      <c r="P93" s="280"/>
      <c r="Q93" s="252"/>
      <c r="R93" s="71"/>
      <c r="S93" s="288"/>
      <c r="T93" s="289"/>
      <c r="U93" s="287"/>
      <c r="V93" s="288"/>
      <c r="W93" s="289"/>
      <c r="X93" s="287"/>
      <c r="Y93" s="288"/>
      <c r="Z93" s="289"/>
      <c r="AA93" s="287"/>
    </row>
    <row r="94" spans="1:27" hidden="1" x14ac:dyDescent="0.2">
      <c r="A94" s="71"/>
      <c r="B94" s="71"/>
      <c r="C94" s="71"/>
      <c r="D94" s="71"/>
      <c r="E94" s="71"/>
      <c r="F94" s="71"/>
      <c r="G94" s="251"/>
      <c r="H94" s="252"/>
      <c r="I94" s="71"/>
      <c r="J94" s="251"/>
      <c r="K94" s="252"/>
      <c r="L94" s="71"/>
      <c r="M94" s="251"/>
      <c r="N94" s="252"/>
      <c r="O94" s="252"/>
      <c r="P94" s="280"/>
      <c r="Q94" s="252"/>
      <c r="R94" s="71"/>
      <c r="S94" s="288"/>
      <c r="T94" s="289"/>
      <c r="U94" s="287"/>
      <c r="V94" s="288"/>
      <c r="W94" s="289"/>
      <c r="X94" s="287"/>
      <c r="Y94" s="288"/>
      <c r="Z94" s="289"/>
      <c r="AA94" s="287"/>
    </row>
    <row r="95" spans="1:27" hidden="1" x14ac:dyDescent="0.2">
      <c r="A95" s="71"/>
      <c r="B95" s="71"/>
      <c r="C95" s="71"/>
      <c r="D95" s="71"/>
      <c r="E95" s="71"/>
      <c r="F95" s="71"/>
      <c r="G95" s="251"/>
      <c r="H95" s="252"/>
      <c r="I95" s="71"/>
      <c r="J95" s="251"/>
      <c r="K95" s="252"/>
      <c r="L95" s="71"/>
      <c r="M95" s="251"/>
      <c r="N95" s="252"/>
      <c r="O95" s="252"/>
      <c r="P95" s="280"/>
      <c r="Q95" s="252"/>
      <c r="R95" s="71"/>
      <c r="S95" s="288"/>
      <c r="T95" s="289"/>
      <c r="U95" s="287"/>
      <c r="V95" s="288"/>
      <c r="W95" s="289"/>
      <c r="X95" s="287"/>
      <c r="Y95" s="288"/>
      <c r="Z95" s="289"/>
      <c r="AA95" s="287"/>
    </row>
    <row r="96" spans="1:27" hidden="1" x14ac:dyDescent="0.2">
      <c r="A96" s="71"/>
      <c r="B96" s="71"/>
      <c r="C96" s="71"/>
      <c r="D96" s="71"/>
      <c r="E96" s="71"/>
      <c r="F96" s="71"/>
      <c r="G96" s="251"/>
      <c r="H96" s="252"/>
      <c r="I96" s="71"/>
      <c r="J96" s="251"/>
      <c r="K96" s="252"/>
      <c r="L96" s="71"/>
      <c r="M96" s="251"/>
      <c r="N96" s="252"/>
      <c r="O96" s="252"/>
      <c r="P96" s="280"/>
      <c r="Q96" s="252"/>
      <c r="R96" s="71"/>
      <c r="S96" s="288"/>
      <c r="T96" s="289"/>
      <c r="U96" s="287"/>
      <c r="V96" s="288"/>
      <c r="W96" s="289"/>
      <c r="X96" s="287"/>
      <c r="Y96" s="288"/>
      <c r="Z96" s="289"/>
      <c r="AA96" s="287"/>
    </row>
    <row r="97" spans="1:27" hidden="1" x14ac:dyDescent="0.2">
      <c r="A97" s="71"/>
      <c r="B97" s="71"/>
      <c r="C97" s="71"/>
      <c r="D97" s="71"/>
      <c r="E97" s="71"/>
      <c r="F97" s="71"/>
      <c r="G97" s="251"/>
      <c r="H97" s="252"/>
      <c r="I97" s="71"/>
      <c r="J97" s="251"/>
      <c r="K97" s="252"/>
      <c r="L97" s="71"/>
      <c r="M97" s="251"/>
      <c r="N97" s="252"/>
      <c r="O97" s="252"/>
      <c r="P97" s="280"/>
      <c r="Q97" s="252"/>
      <c r="R97" s="71"/>
      <c r="S97" s="288"/>
      <c r="T97" s="289"/>
      <c r="U97" s="287"/>
      <c r="V97" s="288"/>
      <c r="W97" s="289"/>
      <c r="X97" s="287"/>
      <c r="Y97" s="288"/>
      <c r="Z97" s="289"/>
      <c r="AA97" s="287"/>
    </row>
    <row r="98" spans="1:27" hidden="1" x14ac:dyDescent="0.2">
      <c r="A98" s="71"/>
      <c r="B98" s="71"/>
      <c r="C98" s="71"/>
      <c r="D98" s="71"/>
      <c r="E98" s="71"/>
      <c r="F98" s="71"/>
      <c r="G98" s="251"/>
      <c r="H98" s="252"/>
      <c r="I98" s="71"/>
      <c r="J98" s="251"/>
      <c r="K98" s="252"/>
      <c r="L98" s="71"/>
      <c r="M98" s="251"/>
      <c r="N98" s="252"/>
      <c r="O98" s="252"/>
      <c r="P98" s="280"/>
      <c r="Q98" s="252"/>
      <c r="R98" s="71"/>
      <c r="S98" s="288"/>
      <c r="T98" s="289"/>
      <c r="U98" s="287"/>
      <c r="V98" s="288"/>
      <c r="W98" s="289"/>
      <c r="X98" s="287"/>
      <c r="Y98" s="288"/>
      <c r="Z98" s="289"/>
      <c r="AA98" s="287"/>
    </row>
  </sheetData>
  <sheetProtection algorithmName="SHA-512" hashValue="X0GyFr7YMXRQ7jGvSqxv3WQnWJdIAvXZYg2DAgG1S/23T5CztuDnrD9TZx1mtA024rmq1xOLzep/w6z5ly4ajw==" saltValue="zklgMG6j1lPjz30dq/sC1A==" spinCount="100000" sheet="1" objects="1" scenarios="1"/>
  <mergeCells count="14">
    <mergeCell ref="X3:Z3"/>
    <mergeCell ref="B3:C3"/>
    <mergeCell ref="D3:E3"/>
    <mergeCell ref="G3:K3"/>
    <mergeCell ref="L3:N3"/>
    <mergeCell ref="S3:W3"/>
    <mergeCell ref="Y5:Z5"/>
    <mergeCell ref="P7:Q7"/>
    <mergeCell ref="G5:H5"/>
    <mergeCell ref="J5:K5"/>
    <mergeCell ref="M5:N5"/>
    <mergeCell ref="P5:Q5"/>
    <mergeCell ref="V5:W5"/>
    <mergeCell ref="S6:S7"/>
  </mergeCells>
  <phoneticPr fontId="5" type="noConversion"/>
  <conditionalFormatting sqref="Q11:Q41">
    <cfRule type="cellIs" dxfId="231" priority="1" operator="greaterThan">
      <formula>10</formula>
    </cfRule>
  </conditionalFormatting>
  <dataValidations count="4">
    <dataValidation type="decimal" allowBlank="1" showInputMessage="1" showErrorMessage="1" sqref="S3:W3" xr:uid="{00000000-0002-0000-0300-000000000000}">
      <formula1>100</formula1>
      <formula2>125</formula2>
    </dataValidation>
    <dataValidation type="whole" allowBlank="1" showInputMessage="1" showErrorMessage="1" errorTitle="Line Voltage" error="The voltage for this cell should be between 205V and 250V" sqref="G3:K3" xr:uid="{00000000-0002-0000-0300-000001000000}">
      <formula1>205</formula1>
      <formula2>250</formula2>
    </dataValidation>
    <dataValidation type="decimal" allowBlank="1" showInputMessage="1" showErrorMessage="1" sqref="C7" xr:uid="{00000000-0002-0000-0300-000002000000}">
      <formula1>0</formula1>
      <formula2>0.5</formula2>
    </dataValidation>
    <dataValidation type="whole" operator="greaterThanOrEqual" allowBlank="1" showErrorMessage="1" errorTitle="Loudspeaker Quantity" error="Quantity can not be less than zero_x000a__x000a_Quantity can only be a whole number" sqref="E11:F41" xr:uid="{00000000-0002-0000-0300-000003000000}">
      <formula1>0</formula1>
    </dataValidation>
  </dataValidations>
  <pageMargins left="0.25" right="0.25" top="0.75" bottom="0.75" header="0.3" footer="0.3"/>
  <pageSetup paperSize="9" scale="58" orientation="portrait" r:id="rId1"/>
  <colBreaks count="1" manualBreakCount="1">
    <brk id="16383" max="1048575" man="1"/>
  </colBreaks>
  <extLst>
    <ext xmlns:x14="http://schemas.microsoft.com/office/spreadsheetml/2009/9/main" uri="{78C0D931-6437-407d-A8EE-F0AAD7539E65}">
      <x14:conditionalFormattings>
        <x14:conditionalFormatting xmlns:xm="http://schemas.microsoft.com/office/excel/2006/main">
          <x14:cfRule type="cellIs" priority="3" operator="greaterThan" id="{F2106000-3E12-1D46-96C3-5F780B1945DD}">
            <xm:f>Data!$AC$13</xm:f>
            <x14:dxf>
              <font>
                <color theme="5" tint="0.59999389629810485"/>
              </font>
              <fill>
                <patternFill patternType="solid">
                  <fgColor indexed="64"/>
                  <bgColor rgb="FFFF0000"/>
                </patternFill>
              </fill>
            </x14:dxf>
          </x14:cfRule>
          <xm:sqref>AC15</xm:sqref>
        </x14:conditionalFormatting>
        <x14:conditionalFormatting xmlns:xm="http://schemas.microsoft.com/office/excel/2006/main">
          <x14:cfRule type="cellIs" priority="2" operator="greaterThan" id="{54558B75-B160-4D4D-97EC-23708E394B8D}">
            <xm:f>Data!$AC$13</xm:f>
            <x14:dxf>
              <font>
                <color theme="5" tint="0.59999389629810485"/>
              </font>
              <fill>
                <patternFill patternType="solid">
                  <fgColor indexed="64"/>
                  <bgColor rgb="FFFF0000"/>
                </patternFill>
              </fill>
            </x14:dxf>
          </x14:cfRule>
          <xm:sqref>AE15</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4000000}">
          <x14:formula1>
            <xm:f>Data!$AB$30:$AB$32</xm:f>
          </x14:formula1>
          <xm:sqref>P3</xm:sqref>
        </x14:dataValidation>
        <x14:dataValidation type="list" allowBlank="1" showInputMessage="1" showErrorMessage="1" xr:uid="{00000000-0002-0000-0300-000005000000}">
          <x14:formula1>
            <xm:f>Data!$G$4:$G$62</xm:f>
          </x14:formula1>
          <xm:sqref>D11:D39 D40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1"/>
  </sheetPr>
  <dimension ref="A1:AF98"/>
  <sheetViews>
    <sheetView showGridLines="0" workbookViewId="0"/>
  </sheetViews>
  <sheetFormatPr baseColWidth="10" defaultColWidth="0" defaultRowHeight="16" zeroHeight="1" x14ac:dyDescent="0.2"/>
  <cols>
    <col min="1" max="1" width="2.83203125" customWidth="1"/>
    <col min="2" max="2" width="18.1640625" bestFit="1" customWidth="1"/>
    <col min="3" max="3" width="5.6640625" customWidth="1"/>
    <col min="4" max="4" width="11.33203125" bestFit="1" customWidth="1"/>
    <col min="5" max="5" width="5.6640625" customWidth="1"/>
    <col min="6" max="6" width="2" customWidth="1"/>
    <col min="7" max="7" width="10.33203125" style="269" customWidth="1"/>
    <col min="8" max="8" width="6.1640625" style="270" customWidth="1"/>
    <col min="9" max="9" width="1.33203125" customWidth="1"/>
    <col min="10" max="10" width="10.33203125" style="269" customWidth="1"/>
    <col min="11" max="11" width="6.1640625" style="270" customWidth="1"/>
    <col min="12" max="12" width="1.33203125" customWidth="1"/>
    <col min="13" max="13" width="10.33203125" style="269" customWidth="1"/>
    <col min="14" max="14" width="6.1640625" style="270" customWidth="1"/>
    <col min="15" max="15" width="2" style="270" customWidth="1"/>
    <col min="16" max="16" width="13" style="281" bestFit="1" customWidth="1"/>
    <col min="17" max="17" width="10.1640625" style="270" customWidth="1"/>
    <col min="18" max="18" width="2" customWidth="1"/>
    <col min="19" max="19" width="16.33203125" style="304" customWidth="1"/>
    <col min="20" max="20" width="2.83203125" customWidth="1"/>
    <col min="21" max="16384" width="10.83203125" hidden="1"/>
  </cols>
  <sheetData>
    <row r="1" spans="1:32" x14ac:dyDescent="0.2">
      <c r="A1" s="317"/>
      <c r="B1" s="318" t="s">
        <v>156</v>
      </c>
      <c r="C1" s="318"/>
      <c r="D1" s="318"/>
      <c r="E1" s="318"/>
      <c r="F1" s="318"/>
      <c r="G1" s="318"/>
      <c r="H1" s="318"/>
      <c r="I1" s="318"/>
      <c r="J1" s="318"/>
      <c r="K1" s="318"/>
      <c r="L1" s="318"/>
      <c r="M1" s="318"/>
      <c r="N1" s="319"/>
      <c r="O1" s="320"/>
      <c r="P1" s="391" t="str">
        <f>Data!$G$1</f>
        <v>© 2021</v>
      </c>
      <c r="Q1" s="321"/>
      <c r="R1" s="317"/>
      <c r="S1" s="280"/>
      <c r="T1" s="322" t="str">
        <f>Data!M1</f>
        <v>06.257.005.01 C</v>
      </c>
    </row>
    <row r="2" spans="1:32" x14ac:dyDescent="0.2">
      <c r="A2" s="1"/>
      <c r="B2" s="1"/>
      <c r="C2" s="1"/>
      <c r="D2" s="1"/>
      <c r="E2" s="1"/>
      <c r="F2" s="1"/>
      <c r="G2" s="248"/>
      <c r="H2" s="44"/>
      <c r="I2" s="1"/>
      <c r="J2" s="248"/>
      <c r="K2" s="44"/>
      <c r="L2" s="1"/>
      <c r="M2" s="248"/>
      <c r="N2" s="44"/>
      <c r="O2" s="44"/>
      <c r="P2" s="44"/>
      <c r="Q2" s="44"/>
      <c r="R2" s="1"/>
      <c r="S2" s="288"/>
      <c r="T2" s="1"/>
      <c r="AB2" s="1"/>
    </row>
    <row r="3" spans="1:32" ht="37" x14ac:dyDescent="0.45">
      <c r="A3" s="71"/>
      <c r="B3" s="492" t="s">
        <v>157</v>
      </c>
      <c r="C3" s="492"/>
      <c r="D3" s="331"/>
      <c r="E3" s="1"/>
      <c r="F3" s="71"/>
      <c r="G3" s="493">
        <v>120</v>
      </c>
      <c r="H3" s="493"/>
      <c r="I3" s="493"/>
      <c r="J3" s="493"/>
      <c r="K3" s="493"/>
      <c r="L3" s="494" t="s">
        <v>106</v>
      </c>
      <c r="M3" s="495"/>
      <c r="N3" s="496"/>
      <c r="O3" s="272"/>
      <c r="P3" s="309">
        <v>12</v>
      </c>
      <c r="Q3" s="278" t="s">
        <v>158</v>
      </c>
      <c r="R3" s="249"/>
      <c r="S3" s="249"/>
      <c r="T3" s="1"/>
      <c r="AB3" s="71"/>
      <c r="AC3" s="250"/>
    </row>
    <row r="4" spans="1:32" ht="26" x14ac:dyDescent="0.3">
      <c r="A4" s="71"/>
      <c r="B4" s="329">
        <f>(J7*G3)/1000</f>
        <v>0.46344999999999997</v>
      </c>
      <c r="C4" s="330" t="s">
        <v>108</v>
      </c>
      <c r="D4" s="331"/>
      <c r="E4" s="1"/>
      <c r="F4" s="71"/>
      <c r="G4" s="251"/>
      <c r="H4" s="252"/>
      <c r="I4" s="71"/>
      <c r="J4" s="251"/>
      <c r="K4" s="252"/>
      <c r="L4" s="71"/>
      <c r="M4" s="251"/>
      <c r="N4" s="252"/>
      <c r="O4" s="252"/>
      <c r="P4" s="252"/>
      <c r="Q4" s="252"/>
      <c r="R4" s="71"/>
      <c r="S4" s="288"/>
      <c r="T4" s="1"/>
      <c r="AB4" s="71"/>
    </row>
    <row r="5" spans="1:32" ht="24" x14ac:dyDescent="0.3">
      <c r="A5" s="71"/>
      <c r="B5" s="331"/>
      <c r="C5" s="331"/>
      <c r="D5" s="331"/>
      <c r="E5" s="71"/>
      <c r="F5" s="71"/>
      <c r="G5" s="488" t="s">
        <v>109</v>
      </c>
      <c r="H5" s="488"/>
      <c r="I5" s="253"/>
      <c r="J5" s="488" t="s">
        <v>110</v>
      </c>
      <c r="K5" s="488"/>
      <c r="L5" s="253"/>
      <c r="M5" s="488" t="s">
        <v>111</v>
      </c>
      <c r="N5" s="488"/>
      <c r="O5" s="255"/>
      <c r="P5" s="498" t="s">
        <v>112</v>
      </c>
      <c r="Q5" s="499"/>
      <c r="R5" s="253"/>
      <c r="S5" s="324" t="s">
        <v>113</v>
      </c>
      <c r="T5" s="1"/>
      <c r="AB5" s="71"/>
    </row>
    <row r="6" spans="1:32" ht="25" thickBot="1" x14ac:dyDescent="0.35">
      <c r="A6" s="71"/>
      <c r="B6" s="1"/>
      <c r="C6" s="1"/>
      <c r="D6" s="1"/>
      <c r="E6" s="71"/>
      <c r="F6" s="71"/>
      <c r="G6" s="255"/>
      <c r="H6" s="255"/>
      <c r="I6" s="253"/>
      <c r="J6" s="255"/>
      <c r="K6" s="255"/>
      <c r="L6" s="253"/>
      <c r="M6" s="255"/>
      <c r="N6" s="255"/>
      <c r="O6" s="255"/>
      <c r="P6" s="255"/>
      <c r="Q6" s="255"/>
      <c r="R6" s="253"/>
      <c r="S6" s="489" t="s">
        <v>114</v>
      </c>
      <c r="T6" s="1"/>
      <c r="AB6" s="71"/>
    </row>
    <row r="7" spans="1:32" ht="23" customHeight="1" thickTop="1" thickBot="1" x14ac:dyDescent="0.3">
      <c r="A7" s="71"/>
      <c r="B7" s="256" t="s">
        <v>115</v>
      </c>
      <c r="C7" s="271">
        <v>0.3</v>
      </c>
      <c r="D7" s="71"/>
      <c r="E7" s="71"/>
      <c r="F7" s="71"/>
      <c r="G7" s="398">
        <f>SUM(G11:G40)+(C7*SUM(G11:G40))</f>
        <v>2.367083333333333</v>
      </c>
      <c r="H7" s="258" t="s">
        <v>116</v>
      </c>
      <c r="I7" s="259"/>
      <c r="J7" s="398">
        <f>SUM(J11:J40)+(C7*SUM(J11:J40))</f>
        <v>3.8620833333333331</v>
      </c>
      <c r="K7" s="258" t="s">
        <v>116</v>
      </c>
      <c r="L7" s="259"/>
      <c r="M7" s="398">
        <f>SUM(M11:M40)+(C7*SUM(M11:M40))</f>
        <v>8.5962500000000013</v>
      </c>
      <c r="N7" s="258" t="s">
        <v>117</v>
      </c>
      <c r="O7" s="273"/>
      <c r="P7" s="500" t="s">
        <v>118</v>
      </c>
      <c r="Q7" s="500"/>
      <c r="R7" s="71"/>
      <c r="S7" s="490"/>
      <c r="T7" s="1"/>
      <c r="AB7" s="71"/>
    </row>
    <row r="8" spans="1:32" ht="21" thickTop="1" thickBot="1" x14ac:dyDescent="0.3">
      <c r="A8" s="71"/>
      <c r="B8" s="71"/>
      <c r="C8" s="71"/>
      <c r="D8" s="71"/>
      <c r="E8" s="71"/>
      <c r="F8" s="71"/>
      <c r="G8" s="260"/>
      <c r="H8" s="261"/>
      <c r="I8" s="76"/>
      <c r="J8" s="260"/>
      <c r="K8" s="261"/>
      <c r="L8" s="76"/>
      <c r="M8" s="260"/>
      <c r="N8" s="261"/>
      <c r="O8" s="261"/>
      <c r="P8" s="261"/>
      <c r="Q8" s="261"/>
      <c r="R8" s="71"/>
      <c r="S8" s="336"/>
      <c r="T8" s="1"/>
      <c r="AB8" s="71"/>
    </row>
    <row r="9" spans="1:32" ht="21" thickTop="1" thickBot="1" x14ac:dyDescent="0.3">
      <c r="A9" s="71"/>
      <c r="B9" s="71"/>
      <c r="C9" s="71"/>
      <c r="D9" s="71" t="s">
        <v>119</v>
      </c>
      <c r="E9" s="262" t="s">
        <v>120</v>
      </c>
      <c r="F9" s="71"/>
      <c r="G9" s="398">
        <f>SUM(G11:G40)</f>
        <v>1.8208333333333331</v>
      </c>
      <c r="H9" s="263" t="s">
        <v>116</v>
      </c>
      <c r="I9" s="257"/>
      <c r="J9" s="398">
        <f>SUM(J11:J40)</f>
        <v>2.9708333333333332</v>
      </c>
      <c r="K9" s="263" t="s">
        <v>116</v>
      </c>
      <c r="L9" s="257"/>
      <c r="M9" s="398">
        <f>SUM(M11:M40)</f>
        <v>6.6125000000000007</v>
      </c>
      <c r="N9" s="264" t="s">
        <v>117</v>
      </c>
      <c r="O9" s="274"/>
      <c r="P9" s="276" t="s">
        <v>121</v>
      </c>
      <c r="Q9" s="276" t="s">
        <v>122</v>
      </c>
      <c r="R9" s="260"/>
      <c r="S9" s="337">
        <f>SUM(S11:S40)</f>
        <v>186</v>
      </c>
      <c r="T9" s="1"/>
      <c r="AB9" s="71"/>
    </row>
    <row r="10" spans="1:32" ht="11" customHeight="1" thickTop="1" x14ac:dyDescent="0.2">
      <c r="A10" s="71"/>
      <c r="B10" s="71"/>
      <c r="C10" s="71"/>
      <c r="D10" s="71"/>
      <c r="E10" s="71"/>
      <c r="F10" s="71"/>
      <c r="G10" s="251"/>
      <c r="H10" s="252"/>
      <c r="I10" s="71"/>
      <c r="J10" s="251"/>
      <c r="K10" s="252"/>
      <c r="L10" s="71"/>
      <c r="M10" s="251"/>
      <c r="N10" s="252"/>
      <c r="O10" s="252"/>
      <c r="P10" s="252"/>
      <c r="Q10" s="252"/>
      <c r="R10" s="71"/>
      <c r="S10" s="288"/>
      <c r="T10" s="1"/>
      <c r="AB10" s="71"/>
    </row>
    <row r="11" spans="1:32" s="94" customFormat="1" ht="28" customHeight="1" x14ac:dyDescent="0.2">
      <c r="A11" s="265"/>
      <c r="B11" s="277" t="s">
        <v>123</v>
      </c>
      <c r="C11" s="244" t="s">
        <v>124</v>
      </c>
      <c r="D11" s="326" t="s">
        <v>125</v>
      </c>
      <c r="E11" s="245">
        <v>1</v>
      </c>
      <c r="F11" s="266"/>
      <c r="G11" s="397">
        <f>(((VLOOKUP($D11,Data!$W$4:$Z$69,2,FALSE)*$E11))/$G$3)*Data!$W$3</f>
        <v>1.8208333333333331</v>
      </c>
      <c r="H11" s="267" t="s">
        <v>116</v>
      </c>
      <c r="I11" s="244"/>
      <c r="J11" s="397">
        <f>(((VLOOKUP($D11,Data!$W$4:$Z$69,3,FALSE)*$E11))/$G$3)*Data!$W$3</f>
        <v>2.9708333333333332</v>
      </c>
      <c r="K11" s="267" t="s">
        <v>116</v>
      </c>
      <c r="L11" s="244"/>
      <c r="M11" s="397">
        <f>(((VLOOKUP($D11,Data!$W$4:$Z$69,4,FALSE)*$E11))/$G$3)*Data!$W$3</f>
        <v>6.6125000000000007</v>
      </c>
      <c r="N11" s="268" t="s">
        <v>117</v>
      </c>
      <c r="O11" s="275"/>
      <c r="P11" s="311">
        <v>100</v>
      </c>
      <c r="Q11" s="310">
        <f>((M11*(17*(10^-8))*(((2*P11)/3.280839895)/(((PI()/4)*((0.127*(92^((36-$P$3)/39)))^2))*(10^-5))))*100)/($G$3*SQRT(2))</f>
        <v>1.2203836032409654</v>
      </c>
      <c r="R11" s="244"/>
      <c r="S11" s="327">
        <f>ROUND((G11*$G$3*COS(RADIANS(0.5))*3.41)/4,0)</f>
        <v>186</v>
      </c>
      <c r="T11" s="328"/>
      <c r="U11" s="284"/>
      <c r="AB11" s="265"/>
      <c r="AD11" s="283"/>
    </row>
    <row r="12" spans="1:32" s="94" customFormat="1" ht="28" customHeight="1" x14ac:dyDescent="0.2">
      <c r="A12" s="265"/>
      <c r="B12" s="277" t="s">
        <v>126</v>
      </c>
      <c r="C12" s="244" t="s">
        <v>124</v>
      </c>
      <c r="D12" s="326" t="s">
        <v>127</v>
      </c>
      <c r="E12" s="247">
        <v>0</v>
      </c>
      <c r="F12" s="266"/>
      <c r="G12" s="397">
        <f>(((VLOOKUP($D12,Data!$W$4:$Z$69,2,FALSE)*$E12))/$G$3)*Data!$W$3</f>
        <v>0</v>
      </c>
      <c r="H12" s="267" t="s">
        <v>116</v>
      </c>
      <c r="I12" s="244"/>
      <c r="J12" s="397">
        <f>(((VLOOKUP($D12,Data!$W$4:$Z$69,3,FALSE)*$E12))/$G$3)*Data!$W$3</f>
        <v>0</v>
      </c>
      <c r="K12" s="267" t="s">
        <v>116</v>
      </c>
      <c r="L12" s="244"/>
      <c r="M12" s="397">
        <f>(((VLOOKUP($D12,Data!$W$4:$Z$69,4,FALSE)*$E12))/$G$3)*Data!$W$3</f>
        <v>0</v>
      </c>
      <c r="N12" s="268" t="s">
        <v>117</v>
      </c>
      <c r="O12" s="275"/>
      <c r="P12" s="396">
        <v>0</v>
      </c>
      <c r="Q12" s="310">
        <f t="shared" ref="Q12:Q40" si="0">((M12*(17*(10^-8))*(((2*P12)/3.280839895)/(((PI()/4)*((0.127*(92^((36-$P$3)/39)))^2))*(10^-5))))*100)/($G$3*SQRT(2))</f>
        <v>0</v>
      </c>
      <c r="R12" s="244"/>
      <c r="S12" s="327">
        <f t="shared" ref="S12:S40" si="1">ROUND((G12*$G$3*COS(RADIANS(0.5))*3.41)/4,0)</f>
        <v>0</v>
      </c>
      <c r="T12" s="328"/>
      <c r="U12" s="269"/>
      <c r="AB12" s="265"/>
      <c r="AD12" s="284"/>
    </row>
    <row r="13" spans="1:32" s="94" customFormat="1" ht="28" customHeight="1" x14ac:dyDescent="0.2">
      <c r="A13" s="265"/>
      <c r="B13" s="277" t="s">
        <v>128</v>
      </c>
      <c r="C13" s="244" t="s">
        <v>124</v>
      </c>
      <c r="D13" s="326" t="s">
        <v>127</v>
      </c>
      <c r="E13" s="247">
        <v>0</v>
      </c>
      <c r="F13" s="266"/>
      <c r="G13" s="397">
        <f>(((VLOOKUP($D13,Data!$W$4:$Z$69,2,FALSE)*$E13))/$G$3)*Data!$W$3</f>
        <v>0</v>
      </c>
      <c r="H13" s="267" t="s">
        <v>116</v>
      </c>
      <c r="I13" s="244"/>
      <c r="J13" s="397">
        <f>(((VLOOKUP($D13,Data!$W$4:$Z$69,3,FALSE)*$E13))/$G$3)*Data!$W$3</f>
        <v>0</v>
      </c>
      <c r="K13" s="267" t="s">
        <v>116</v>
      </c>
      <c r="L13" s="244"/>
      <c r="M13" s="397">
        <f>(((VLOOKUP($D13,Data!$W$4:$Z$69,4,FALSE)*$E13))/$G$3)*Data!$W$3</f>
        <v>0</v>
      </c>
      <c r="N13" s="268" t="s">
        <v>117</v>
      </c>
      <c r="O13" s="275"/>
      <c r="P13" s="312">
        <v>0</v>
      </c>
      <c r="Q13" s="310">
        <f t="shared" si="0"/>
        <v>0</v>
      </c>
      <c r="R13" s="244"/>
      <c r="S13" s="327">
        <f t="shared" si="1"/>
        <v>0</v>
      </c>
      <c r="T13" s="328"/>
      <c r="U13" s="269"/>
      <c r="AB13" s="265"/>
      <c r="AD13" s="269"/>
    </row>
    <row r="14" spans="1:32" s="94" customFormat="1" ht="28" customHeight="1" x14ac:dyDescent="0.2">
      <c r="A14" s="265"/>
      <c r="B14" s="277" t="s">
        <v>129</v>
      </c>
      <c r="C14" s="244" t="s">
        <v>124</v>
      </c>
      <c r="D14" s="326" t="s">
        <v>127</v>
      </c>
      <c r="E14" s="247">
        <v>0</v>
      </c>
      <c r="F14" s="266"/>
      <c r="G14" s="397">
        <f>(((VLOOKUP($D14,Data!$W$4:$Z$69,2,FALSE)*$E14))/$G$3)*Data!$W$3</f>
        <v>0</v>
      </c>
      <c r="H14" s="267" t="s">
        <v>116</v>
      </c>
      <c r="I14" s="244"/>
      <c r="J14" s="397">
        <f>(((VLOOKUP($D14,Data!$W$4:$Z$69,3,FALSE)*$E14))/$G$3)*Data!$W$3</f>
        <v>0</v>
      </c>
      <c r="K14" s="267" t="s">
        <v>116</v>
      </c>
      <c r="L14" s="244"/>
      <c r="M14" s="397">
        <f>(((VLOOKUP($D14,Data!$W$4:$Z$69,4,FALSE)*$E14))/$G$3)*Data!$W$3</f>
        <v>0</v>
      </c>
      <c r="N14" s="268" t="s">
        <v>117</v>
      </c>
      <c r="O14" s="275"/>
      <c r="P14" s="313">
        <v>0</v>
      </c>
      <c r="Q14" s="310">
        <f t="shared" si="0"/>
        <v>0</v>
      </c>
      <c r="R14" s="244"/>
      <c r="S14" s="327">
        <f t="shared" si="1"/>
        <v>0</v>
      </c>
      <c r="T14" s="328"/>
      <c r="U14" s="269"/>
      <c r="AB14" s="265"/>
      <c r="AD14" s="284"/>
    </row>
    <row r="15" spans="1:32" s="94" customFormat="1" ht="28" customHeight="1" x14ac:dyDescent="0.2">
      <c r="A15" s="265"/>
      <c r="B15" s="277" t="s">
        <v>130</v>
      </c>
      <c r="C15" s="244" t="s">
        <v>124</v>
      </c>
      <c r="D15" s="326" t="s">
        <v>127</v>
      </c>
      <c r="E15" s="247">
        <v>0</v>
      </c>
      <c r="F15" s="266"/>
      <c r="G15" s="397">
        <f>(((VLOOKUP($D15,Data!$W$4:$Z$69,2,FALSE)*$E15))/$G$3)*Data!$W$3</f>
        <v>0</v>
      </c>
      <c r="H15" s="267" t="s">
        <v>116</v>
      </c>
      <c r="I15" s="244"/>
      <c r="J15" s="397">
        <f>(((VLOOKUP($D15,Data!$W$4:$Z$69,3,FALSE)*$E15))/$G$3)*Data!$W$3</f>
        <v>0</v>
      </c>
      <c r="K15" s="267" t="s">
        <v>116</v>
      </c>
      <c r="L15" s="244"/>
      <c r="M15" s="397">
        <f>(((VLOOKUP($D15,Data!$W$4:$Z$69,4,FALSE)*$E15))/$G$3)*Data!$W$3</f>
        <v>0</v>
      </c>
      <c r="N15" s="268" t="s">
        <v>117</v>
      </c>
      <c r="O15" s="275"/>
      <c r="P15" s="313">
        <v>0</v>
      </c>
      <c r="Q15" s="310">
        <f t="shared" si="0"/>
        <v>0</v>
      </c>
      <c r="R15" s="244"/>
      <c r="S15" s="327">
        <f t="shared" si="1"/>
        <v>0</v>
      </c>
      <c r="T15" s="328"/>
      <c r="U15" s="269"/>
      <c r="AB15" s="265"/>
      <c r="AD15" s="269"/>
      <c r="AF15" s="269"/>
    </row>
    <row r="16" spans="1:32" s="94" customFormat="1" ht="28" customHeight="1" x14ac:dyDescent="0.2">
      <c r="A16" s="265"/>
      <c r="B16" s="277" t="s">
        <v>131</v>
      </c>
      <c r="C16" s="244" t="s">
        <v>124</v>
      </c>
      <c r="D16" s="326" t="s">
        <v>127</v>
      </c>
      <c r="E16" s="247">
        <v>0</v>
      </c>
      <c r="F16" s="266"/>
      <c r="G16" s="397">
        <f>(((VLOOKUP($D16,Data!$W$4:$Z$69,2,FALSE)*$E16))/$G$3)*Data!$W$3</f>
        <v>0</v>
      </c>
      <c r="H16" s="267" t="s">
        <v>116</v>
      </c>
      <c r="I16" s="244"/>
      <c r="J16" s="397">
        <f>(((VLOOKUP($D16,Data!$W$4:$Z$69,3,FALSE)*$E16))/$G$3)*Data!$W$3</f>
        <v>0</v>
      </c>
      <c r="K16" s="267" t="s">
        <v>116</v>
      </c>
      <c r="L16" s="244"/>
      <c r="M16" s="397">
        <f>(((VLOOKUP($D16,Data!$W$4:$Z$69,4,FALSE)*$E16))/$G$3)*Data!$W$3</f>
        <v>0</v>
      </c>
      <c r="N16" s="268" t="s">
        <v>117</v>
      </c>
      <c r="O16" s="275"/>
      <c r="P16" s="313">
        <v>0</v>
      </c>
      <c r="Q16" s="310">
        <f t="shared" si="0"/>
        <v>0</v>
      </c>
      <c r="R16" s="244"/>
      <c r="S16" s="327">
        <f t="shared" si="1"/>
        <v>0</v>
      </c>
      <c r="T16" s="328"/>
      <c r="U16" s="283"/>
      <c r="AB16" s="265"/>
    </row>
    <row r="17" spans="1:28" s="94" customFormat="1" ht="28" customHeight="1" x14ac:dyDescent="0.2">
      <c r="A17" s="265"/>
      <c r="B17" s="277" t="s">
        <v>132</v>
      </c>
      <c r="C17" s="244" t="s">
        <v>124</v>
      </c>
      <c r="D17" s="326" t="s">
        <v>127</v>
      </c>
      <c r="E17" s="247">
        <v>0</v>
      </c>
      <c r="F17" s="266"/>
      <c r="G17" s="397">
        <f>(((VLOOKUP($D17,Data!$W$4:$Z$69,2,FALSE)*$E17))/$G$3)*Data!$W$3</f>
        <v>0</v>
      </c>
      <c r="H17" s="267" t="s">
        <v>116</v>
      </c>
      <c r="I17" s="244"/>
      <c r="J17" s="397">
        <f>(((VLOOKUP($D17,Data!$W$4:$Z$69,3,FALSE)*$E17))/$G$3)*Data!$W$3</f>
        <v>0</v>
      </c>
      <c r="K17" s="267" t="s">
        <v>116</v>
      </c>
      <c r="L17" s="244"/>
      <c r="M17" s="397">
        <f>(((VLOOKUP($D17,Data!$W$4:$Z$69,4,FALSE)*$E17))/$G$3)*Data!$W$3</f>
        <v>0</v>
      </c>
      <c r="N17" s="268" t="s">
        <v>117</v>
      </c>
      <c r="O17" s="275"/>
      <c r="P17" s="313">
        <v>0</v>
      </c>
      <c r="Q17" s="310">
        <f t="shared" si="0"/>
        <v>0</v>
      </c>
      <c r="R17" s="244"/>
      <c r="S17" s="327">
        <f t="shared" si="1"/>
        <v>0</v>
      </c>
      <c r="T17" s="328"/>
      <c r="U17" s="284"/>
      <c r="AB17" s="265"/>
    </row>
    <row r="18" spans="1:28" s="94" customFormat="1" ht="28" customHeight="1" x14ac:dyDescent="0.2">
      <c r="A18" s="265"/>
      <c r="B18" s="277" t="s">
        <v>133</v>
      </c>
      <c r="C18" s="244" t="s">
        <v>124</v>
      </c>
      <c r="D18" s="326" t="s">
        <v>127</v>
      </c>
      <c r="E18" s="247">
        <v>0</v>
      </c>
      <c r="F18" s="266"/>
      <c r="G18" s="397">
        <f>(((VLOOKUP($D18,Data!$W$4:$Z$69,2,FALSE)*$E18))/$G$3)*Data!$W$3</f>
        <v>0</v>
      </c>
      <c r="H18" s="267" t="s">
        <v>116</v>
      </c>
      <c r="I18" s="244"/>
      <c r="J18" s="397">
        <f>(((VLOOKUP($D18,Data!$W$4:$Z$69,3,FALSE)*$E18))/$G$3)*Data!$W$3</f>
        <v>0</v>
      </c>
      <c r="K18" s="267" t="s">
        <v>116</v>
      </c>
      <c r="L18" s="244"/>
      <c r="M18" s="397">
        <f>(((VLOOKUP($D18,Data!$W$4:$Z$69,4,FALSE)*$E18))/$G$3)*Data!$W$3</f>
        <v>0</v>
      </c>
      <c r="N18" s="268" t="s">
        <v>117</v>
      </c>
      <c r="O18" s="275"/>
      <c r="P18" s="313">
        <v>0</v>
      </c>
      <c r="Q18" s="310">
        <f t="shared" si="0"/>
        <v>0</v>
      </c>
      <c r="R18" s="244"/>
      <c r="S18" s="327">
        <f t="shared" si="1"/>
        <v>0</v>
      </c>
      <c r="T18" s="328"/>
      <c r="U18" s="269"/>
      <c r="AB18" s="265"/>
    </row>
    <row r="19" spans="1:28" s="94" customFormat="1" ht="28" customHeight="1" x14ac:dyDescent="0.2">
      <c r="A19" s="265"/>
      <c r="B19" s="277" t="s">
        <v>134</v>
      </c>
      <c r="C19" s="244" t="s">
        <v>124</v>
      </c>
      <c r="D19" s="326" t="s">
        <v>127</v>
      </c>
      <c r="E19" s="247">
        <v>0</v>
      </c>
      <c r="F19" s="266"/>
      <c r="G19" s="397">
        <f>(((VLOOKUP($D19,Data!$W$4:$Z$69,2,FALSE)*$E19))/$G$3)*Data!$W$3</f>
        <v>0</v>
      </c>
      <c r="H19" s="267" t="s">
        <v>116</v>
      </c>
      <c r="I19" s="244"/>
      <c r="J19" s="397">
        <f>(((VLOOKUP($D19,Data!$W$4:$Z$69,3,FALSE)*$E19))/$G$3)*Data!$W$3</f>
        <v>0</v>
      </c>
      <c r="K19" s="267" t="s">
        <v>116</v>
      </c>
      <c r="L19" s="244"/>
      <c r="M19" s="397">
        <f>(((VLOOKUP($D19,Data!$W$4:$Z$69,4,FALSE)*$E19))/$G$3)*Data!$W$3</f>
        <v>0</v>
      </c>
      <c r="N19" s="268" t="s">
        <v>117</v>
      </c>
      <c r="O19" s="275"/>
      <c r="P19" s="313">
        <v>0</v>
      </c>
      <c r="Q19" s="310">
        <f t="shared" si="0"/>
        <v>0</v>
      </c>
      <c r="R19" s="244"/>
      <c r="S19" s="327">
        <f t="shared" si="1"/>
        <v>0</v>
      </c>
      <c r="T19" s="328"/>
      <c r="U19" s="284"/>
      <c r="AB19" s="265"/>
    </row>
    <row r="20" spans="1:28" s="94" customFormat="1" ht="28" customHeight="1" x14ac:dyDescent="0.2">
      <c r="A20" s="265"/>
      <c r="B20" s="277" t="s">
        <v>135</v>
      </c>
      <c r="C20" s="244" t="s">
        <v>124</v>
      </c>
      <c r="D20" s="326" t="s">
        <v>127</v>
      </c>
      <c r="E20" s="247">
        <v>0</v>
      </c>
      <c r="F20" s="266"/>
      <c r="G20" s="397">
        <f>(((VLOOKUP($D20,Data!$W$4:$Z$69,2,FALSE)*$E20))/$G$3)*Data!$W$3</f>
        <v>0</v>
      </c>
      <c r="H20" s="267" t="s">
        <v>116</v>
      </c>
      <c r="I20" s="244"/>
      <c r="J20" s="397">
        <f>(((VLOOKUP($D20,Data!$W$4:$Z$69,3,FALSE)*$E20))/$G$3)*Data!$W$3</f>
        <v>0</v>
      </c>
      <c r="K20" s="267" t="s">
        <v>116</v>
      </c>
      <c r="L20" s="244"/>
      <c r="M20" s="397">
        <f>(((VLOOKUP($D20,Data!$W$4:$Z$69,4,FALSE)*$E20))/$G$3)*Data!$W$3</f>
        <v>0</v>
      </c>
      <c r="N20" s="268" t="s">
        <v>117</v>
      </c>
      <c r="O20" s="275"/>
      <c r="P20" s="313">
        <v>0</v>
      </c>
      <c r="Q20" s="310">
        <f t="shared" si="0"/>
        <v>0</v>
      </c>
      <c r="R20" s="244"/>
      <c r="S20" s="327">
        <f t="shared" si="1"/>
        <v>0</v>
      </c>
      <c r="T20" s="328"/>
      <c r="U20" s="269"/>
      <c r="AB20" s="265"/>
    </row>
    <row r="21" spans="1:28" s="94" customFormat="1" ht="28" customHeight="1" x14ac:dyDescent="0.2">
      <c r="A21" s="265"/>
      <c r="B21" s="277" t="s">
        <v>136</v>
      </c>
      <c r="C21" s="244" t="s">
        <v>124</v>
      </c>
      <c r="D21" s="326" t="s">
        <v>127</v>
      </c>
      <c r="E21" s="247">
        <v>0</v>
      </c>
      <c r="F21" s="266"/>
      <c r="G21" s="397">
        <f>(((VLOOKUP($D21,Data!$W$4:$Z$69,2,FALSE)*$E21))/$G$3)*Data!$W$3</f>
        <v>0</v>
      </c>
      <c r="H21" s="267" t="s">
        <v>116</v>
      </c>
      <c r="I21" s="244"/>
      <c r="J21" s="397">
        <f>(((VLOOKUP($D21,Data!$W$4:$Z$69,3,FALSE)*$E21))/$G$3)*Data!$W$3</f>
        <v>0</v>
      </c>
      <c r="K21" s="267" t="s">
        <v>116</v>
      </c>
      <c r="L21" s="244"/>
      <c r="M21" s="397">
        <f>(((VLOOKUP($D21,Data!$W$4:$Z$69,4,FALSE)*$E21))/$G$3)*Data!$W$3</f>
        <v>0</v>
      </c>
      <c r="N21" s="268" t="s">
        <v>117</v>
      </c>
      <c r="O21" s="275"/>
      <c r="P21" s="313">
        <v>0</v>
      </c>
      <c r="Q21" s="310">
        <f t="shared" si="0"/>
        <v>0</v>
      </c>
      <c r="R21" s="244"/>
      <c r="S21" s="327">
        <f t="shared" si="1"/>
        <v>0</v>
      </c>
      <c r="T21" s="328"/>
      <c r="U21" s="269"/>
      <c r="AB21" s="265"/>
    </row>
    <row r="22" spans="1:28" s="94" customFormat="1" ht="28" customHeight="1" x14ac:dyDescent="0.2">
      <c r="A22" s="265"/>
      <c r="B22" s="277" t="s">
        <v>137</v>
      </c>
      <c r="C22" s="244" t="s">
        <v>124</v>
      </c>
      <c r="D22" s="326" t="s">
        <v>127</v>
      </c>
      <c r="E22" s="247">
        <v>0</v>
      </c>
      <c r="F22" s="266"/>
      <c r="G22" s="397">
        <f>(((VLOOKUP($D22,Data!$W$4:$Z$69,2,FALSE)*$E22))/$G$3)*Data!$W$3</f>
        <v>0</v>
      </c>
      <c r="H22" s="267" t="s">
        <v>116</v>
      </c>
      <c r="I22" s="244"/>
      <c r="J22" s="397">
        <f>(((VLOOKUP($D22,Data!$W$4:$Z$69,3,FALSE)*$E22))/$G$3)*Data!$W$3</f>
        <v>0</v>
      </c>
      <c r="K22" s="267" t="s">
        <v>116</v>
      </c>
      <c r="L22" s="244"/>
      <c r="M22" s="397">
        <f>(((VLOOKUP($D22,Data!$W$4:$Z$69,4,FALSE)*$E22))/$G$3)*Data!$W$3</f>
        <v>0</v>
      </c>
      <c r="N22" s="268" t="s">
        <v>117</v>
      </c>
      <c r="O22" s="275"/>
      <c r="P22" s="313">
        <v>0</v>
      </c>
      <c r="Q22" s="310">
        <f t="shared" si="0"/>
        <v>0</v>
      </c>
      <c r="R22" s="244"/>
      <c r="S22" s="327">
        <f t="shared" si="1"/>
        <v>0</v>
      </c>
      <c r="T22" s="328"/>
      <c r="AB22" s="265"/>
    </row>
    <row r="23" spans="1:28" s="94" customFormat="1" ht="28" customHeight="1" x14ac:dyDescent="0.2">
      <c r="A23" s="265"/>
      <c r="B23" s="277" t="s">
        <v>138</v>
      </c>
      <c r="C23" s="244" t="s">
        <v>124</v>
      </c>
      <c r="D23" s="326" t="s">
        <v>127</v>
      </c>
      <c r="E23" s="247">
        <v>0</v>
      </c>
      <c r="F23" s="266"/>
      <c r="G23" s="397">
        <f>(((VLOOKUP($D23,Data!$W$4:$Z$69,2,FALSE)*$E23))/$G$3)*Data!$W$3</f>
        <v>0</v>
      </c>
      <c r="H23" s="267" t="s">
        <v>116</v>
      </c>
      <c r="I23" s="244"/>
      <c r="J23" s="397">
        <f>(((VLOOKUP($D23,Data!$W$4:$Z$69,3,FALSE)*$E23))/$G$3)*Data!$W$3</f>
        <v>0</v>
      </c>
      <c r="K23" s="267" t="s">
        <v>116</v>
      </c>
      <c r="L23" s="244"/>
      <c r="M23" s="397">
        <f>(((VLOOKUP($D23,Data!$W$4:$Z$69,4,FALSE)*$E23))/$G$3)*Data!$W$3</f>
        <v>0</v>
      </c>
      <c r="N23" s="268" t="s">
        <v>117</v>
      </c>
      <c r="O23" s="275"/>
      <c r="P23" s="313">
        <v>0</v>
      </c>
      <c r="Q23" s="310">
        <f t="shared" si="0"/>
        <v>0</v>
      </c>
      <c r="R23" s="244"/>
      <c r="S23" s="327">
        <f t="shared" si="1"/>
        <v>0</v>
      </c>
      <c r="T23" s="328"/>
      <c r="AB23" s="265"/>
    </row>
    <row r="24" spans="1:28" s="94" customFormat="1" ht="28" customHeight="1" x14ac:dyDescent="0.2">
      <c r="A24" s="265"/>
      <c r="B24" s="277" t="s">
        <v>139</v>
      </c>
      <c r="C24" s="244" t="s">
        <v>124</v>
      </c>
      <c r="D24" s="326" t="s">
        <v>127</v>
      </c>
      <c r="E24" s="247">
        <v>0</v>
      </c>
      <c r="F24" s="266"/>
      <c r="G24" s="397">
        <f>(((VLOOKUP($D24,Data!$W$4:$Z$69,2,FALSE)*$E24))/$G$3)*Data!$W$3</f>
        <v>0</v>
      </c>
      <c r="H24" s="267" t="s">
        <v>116</v>
      </c>
      <c r="I24" s="244"/>
      <c r="J24" s="397">
        <f>(((VLOOKUP($D24,Data!$W$4:$Z$69,3,FALSE)*$E24))/$G$3)*Data!$W$3</f>
        <v>0</v>
      </c>
      <c r="K24" s="267" t="s">
        <v>116</v>
      </c>
      <c r="L24" s="244"/>
      <c r="M24" s="397">
        <f>(((VLOOKUP($D24,Data!$W$4:$Z$69,4,FALSE)*$E24))/$G$3)*Data!$W$3</f>
        <v>0</v>
      </c>
      <c r="N24" s="268" t="s">
        <v>117</v>
      </c>
      <c r="O24" s="275"/>
      <c r="P24" s="313">
        <v>0</v>
      </c>
      <c r="Q24" s="310">
        <f t="shared" si="0"/>
        <v>0</v>
      </c>
      <c r="R24" s="244"/>
      <c r="S24" s="327">
        <f t="shared" si="1"/>
        <v>0</v>
      </c>
      <c r="T24" s="328"/>
      <c r="AB24" s="265"/>
    </row>
    <row r="25" spans="1:28" s="94" customFormat="1" ht="28" customHeight="1" x14ac:dyDescent="0.2">
      <c r="A25" s="265"/>
      <c r="B25" s="277" t="s">
        <v>140</v>
      </c>
      <c r="C25" s="244" t="s">
        <v>124</v>
      </c>
      <c r="D25" s="326" t="s">
        <v>127</v>
      </c>
      <c r="E25" s="247">
        <v>0</v>
      </c>
      <c r="F25" s="266"/>
      <c r="G25" s="397">
        <f>(((VLOOKUP($D25,Data!$W$4:$Z$69,2,FALSE)*$E25))/$G$3)*Data!$W$3</f>
        <v>0</v>
      </c>
      <c r="H25" s="267" t="s">
        <v>116</v>
      </c>
      <c r="I25" s="244"/>
      <c r="J25" s="397">
        <f>(((VLOOKUP($D25,Data!$W$4:$Z$69,3,FALSE)*$E25))/$G$3)*Data!$W$3</f>
        <v>0</v>
      </c>
      <c r="K25" s="267" t="s">
        <v>116</v>
      </c>
      <c r="L25" s="244"/>
      <c r="M25" s="397">
        <f>(((VLOOKUP($D25,Data!$W$4:$Z$69,4,FALSE)*$E25))/$G$3)*Data!$W$3</f>
        <v>0</v>
      </c>
      <c r="N25" s="268" t="s">
        <v>117</v>
      </c>
      <c r="O25" s="275"/>
      <c r="P25" s="313">
        <v>0</v>
      </c>
      <c r="Q25" s="310">
        <f t="shared" si="0"/>
        <v>0</v>
      </c>
      <c r="R25" s="244"/>
      <c r="S25" s="327">
        <f t="shared" si="1"/>
        <v>0</v>
      </c>
      <c r="T25" s="328"/>
      <c r="AB25" s="265"/>
    </row>
    <row r="26" spans="1:28" s="94" customFormat="1" ht="28" customHeight="1" x14ac:dyDescent="0.2">
      <c r="A26" s="265"/>
      <c r="B26" s="277" t="s">
        <v>141</v>
      </c>
      <c r="C26" s="244" t="s">
        <v>124</v>
      </c>
      <c r="D26" s="326" t="s">
        <v>127</v>
      </c>
      <c r="E26" s="247">
        <v>0</v>
      </c>
      <c r="F26" s="266"/>
      <c r="G26" s="397">
        <f>(((VLOOKUP($D26,Data!$W$4:$Z$69,2,FALSE)*$E26))/$G$3)*Data!$W$3</f>
        <v>0</v>
      </c>
      <c r="H26" s="267" t="s">
        <v>116</v>
      </c>
      <c r="I26" s="244"/>
      <c r="J26" s="397">
        <f>(((VLOOKUP($D26,Data!$W$4:$Z$69,3,FALSE)*$E26))/$G$3)*Data!$W$3</f>
        <v>0</v>
      </c>
      <c r="K26" s="267" t="s">
        <v>116</v>
      </c>
      <c r="L26" s="244"/>
      <c r="M26" s="397">
        <f>(((VLOOKUP($D26,Data!$W$4:$Z$69,4,FALSE)*$E26))/$G$3)*Data!$W$3</f>
        <v>0</v>
      </c>
      <c r="N26" s="268" t="s">
        <v>117</v>
      </c>
      <c r="O26" s="275"/>
      <c r="P26" s="313">
        <v>0</v>
      </c>
      <c r="Q26" s="310">
        <f t="shared" si="0"/>
        <v>0</v>
      </c>
      <c r="R26" s="244"/>
      <c r="S26" s="327">
        <f t="shared" si="1"/>
        <v>0</v>
      </c>
      <c r="T26" s="328"/>
      <c r="AB26" s="265"/>
    </row>
    <row r="27" spans="1:28" s="94" customFormat="1" ht="28" customHeight="1" x14ac:dyDescent="0.2">
      <c r="A27" s="265"/>
      <c r="B27" s="277" t="s">
        <v>142</v>
      </c>
      <c r="C27" s="244" t="s">
        <v>124</v>
      </c>
      <c r="D27" s="326" t="s">
        <v>127</v>
      </c>
      <c r="E27" s="247">
        <v>0</v>
      </c>
      <c r="F27" s="266"/>
      <c r="G27" s="397">
        <f>(((VLOOKUP($D27,Data!$W$4:$Z$69,2,FALSE)*$E27))/$G$3)*Data!$W$3</f>
        <v>0</v>
      </c>
      <c r="H27" s="267" t="s">
        <v>116</v>
      </c>
      <c r="I27" s="244"/>
      <c r="J27" s="397">
        <f>(((VLOOKUP($D27,Data!$W$4:$Z$69,3,FALSE)*$E27))/$G$3)*Data!$W$3</f>
        <v>0</v>
      </c>
      <c r="K27" s="267" t="s">
        <v>116</v>
      </c>
      <c r="L27" s="244"/>
      <c r="M27" s="397">
        <f>(((VLOOKUP($D27,Data!$W$4:$Z$69,4,FALSE)*$E27))/$G$3)*Data!$W$3</f>
        <v>0</v>
      </c>
      <c r="N27" s="268" t="s">
        <v>117</v>
      </c>
      <c r="O27" s="275"/>
      <c r="P27" s="313">
        <v>0</v>
      </c>
      <c r="Q27" s="310">
        <f t="shared" si="0"/>
        <v>0</v>
      </c>
      <c r="R27" s="244"/>
      <c r="S27" s="327">
        <f t="shared" si="1"/>
        <v>0</v>
      </c>
      <c r="T27" s="328"/>
      <c r="AB27" s="265"/>
    </row>
    <row r="28" spans="1:28" s="94" customFormat="1" ht="28" customHeight="1" x14ac:dyDescent="0.2">
      <c r="A28" s="265"/>
      <c r="B28" s="277" t="s">
        <v>143</v>
      </c>
      <c r="C28" s="244" t="s">
        <v>124</v>
      </c>
      <c r="D28" s="326" t="s">
        <v>127</v>
      </c>
      <c r="E28" s="247">
        <v>0</v>
      </c>
      <c r="F28" s="266"/>
      <c r="G28" s="397">
        <f>(((VLOOKUP($D28,Data!$W$4:$Z$69,2,FALSE)*$E28))/$G$3)*Data!$W$3</f>
        <v>0</v>
      </c>
      <c r="H28" s="267" t="s">
        <v>116</v>
      </c>
      <c r="I28" s="244"/>
      <c r="J28" s="397">
        <f>(((VLOOKUP($D28,Data!$W$4:$Z$69,3,FALSE)*$E28))/$G$3)*Data!$W$3</f>
        <v>0</v>
      </c>
      <c r="K28" s="267" t="s">
        <v>116</v>
      </c>
      <c r="L28" s="244"/>
      <c r="M28" s="397">
        <f>(((VLOOKUP($D28,Data!$W$4:$Z$69,4,FALSE)*$E28))/$G$3)*Data!$W$3</f>
        <v>0</v>
      </c>
      <c r="N28" s="268" t="s">
        <v>117</v>
      </c>
      <c r="O28" s="275"/>
      <c r="P28" s="313">
        <v>0</v>
      </c>
      <c r="Q28" s="310">
        <f t="shared" si="0"/>
        <v>0</v>
      </c>
      <c r="R28" s="244"/>
      <c r="S28" s="327">
        <f t="shared" si="1"/>
        <v>0</v>
      </c>
      <c r="T28" s="328"/>
      <c r="AB28" s="265"/>
    </row>
    <row r="29" spans="1:28" s="94" customFormat="1" ht="28" customHeight="1" x14ac:dyDescent="0.2">
      <c r="A29" s="265"/>
      <c r="B29" s="277" t="s">
        <v>144</v>
      </c>
      <c r="C29" s="244" t="s">
        <v>124</v>
      </c>
      <c r="D29" s="326" t="s">
        <v>127</v>
      </c>
      <c r="E29" s="247">
        <v>0</v>
      </c>
      <c r="F29" s="266"/>
      <c r="G29" s="397">
        <f>(((VLOOKUP($D29,Data!$W$4:$Z$69,2,FALSE)*$E29))/$G$3)*Data!$W$3</f>
        <v>0</v>
      </c>
      <c r="H29" s="267" t="s">
        <v>116</v>
      </c>
      <c r="I29" s="244"/>
      <c r="J29" s="397">
        <f>(((VLOOKUP($D29,Data!$W$4:$Z$69,3,FALSE)*$E29))/$G$3)*Data!$W$3</f>
        <v>0</v>
      </c>
      <c r="K29" s="267" t="s">
        <v>116</v>
      </c>
      <c r="L29" s="244"/>
      <c r="M29" s="397">
        <f>(((VLOOKUP($D29,Data!$W$4:$Z$69,4,FALSE)*$E29))/$G$3)*Data!$W$3</f>
        <v>0</v>
      </c>
      <c r="N29" s="268" t="s">
        <v>117</v>
      </c>
      <c r="O29" s="275"/>
      <c r="P29" s="313">
        <v>0</v>
      </c>
      <c r="Q29" s="310">
        <f t="shared" si="0"/>
        <v>0</v>
      </c>
      <c r="R29" s="244"/>
      <c r="S29" s="327">
        <f t="shared" si="1"/>
        <v>0</v>
      </c>
      <c r="T29" s="328"/>
      <c r="AB29" s="265"/>
    </row>
    <row r="30" spans="1:28" s="94" customFormat="1" ht="28" customHeight="1" x14ac:dyDescent="0.2">
      <c r="A30" s="265"/>
      <c r="B30" s="277" t="s">
        <v>145</v>
      </c>
      <c r="C30" s="244" t="s">
        <v>124</v>
      </c>
      <c r="D30" s="326" t="s">
        <v>127</v>
      </c>
      <c r="E30" s="247">
        <v>0</v>
      </c>
      <c r="F30" s="266"/>
      <c r="G30" s="397">
        <f>(((VLOOKUP($D30,Data!$W$4:$Z$69,2,FALSE)*$E30))/$G$3)*Data!$W$3</f>
        <v>0</v>
      </c>
      <c r="H30" s="267" t="s">
        <v>116</v>
      </c>
      <c r="I30" s="244"/>
      <c r="J30" s="397">
        <f>(((VLOOKUP($D30,Data!$W$4:$Z$69,3,FALSE)*$E30))/$G$3)*Data!$W$3</f>
        <v>0</v>
      </c>
      <c r="K30" s="267" t="s">
        <v>116</v>
      </c>
      <c r="L30" s="244"/>
      <c r="M30" s="397">
        <f>(((VLOOKUP($D30,Data!$W$4:$Z$69,4,FALSE)*$E30))/$G$3)*Data!$W$3</f>
        <v>0</v>
      </c>
      <c r="N30" s="268" t="s">
        <v>117</v>
      </c>
      <c r="O30" s="275"/>
      <c r="P30" s="313">
        <v>0</v>
      </c>
      <c r="Q30" s="310">
        <f t="shared" si="0"/>
        <v>0</v>
      </c>
      <c r="R30" s="244"/>
      <c r="S30" s="327">
        <f t="shared" si="1"/>
        <v>0</v>
      </c>
      <c r="T30" s="328"/>
      <c r="AB30" s="265"/>
    </row>
    <row r="31" spans="1:28" s="94" customFormat="1" ht="28" customHeight="1" x14ac:dyDescent="0.2">
      <c r="A31" s="265"/>
      <c r="B31" s="277" t="s">
        <v>146</v>
      </c>
      <c r="C31" s="244" t="s">
        <v>124</v>
      </c>
      <c r="D31" s="326" t="s">
        <v>127</v>
      </c>
      <c r="E31" s="247">
        <v>0</v>
      </c>
      <c r="F31" s="266"/>
      <c r="G31" s="397">
        <f>(((VLOOKUP($D31,Data!$W$4:$Z$69,2,FALSE)*$E31))/$G$3)*Data!$W$3</f>
        <v>0</v>
      </c>
      <c r="H31" s="267" t="s">
        <v>116</v>
      </c>
      <c r="I31" s="244"/>
      <c r="J31" s="397">
        <f>(((VLOOKUP($D31,Data!$W$4:$Z$69,3,FALSE)*$E31))/$G$3)*Data!$W$3</f>
        <v>0</v>
      </c>
      <c r="K31" s="267" t="s">
        <v>116</v>
      </c>
      <c r="L31" s="244"/>
      <c r="M31" s="397">
        <f>(((VLOOKUP($D31,Data!$W$4:$Z$69,4,FALSE)*$E31))/$G$3)*Data!$W$3</f>
        <v>0</v>
      </c>
      <c r="N31" s="268" t="s">
        <v>117</v>
      </c>
      <c r="O31" s="275"/>
      <c r="P31" s="313">
        <v>0</v>
      </c>
      <c r="Q31" s="310">
        <f t="shared" si="0"/>
        <v>0</v>
      </c>
      <c r="R31" s="244"/>
      <c r="S31" s="327">
        <f t="shared" si="1"/>
        <v>0</v>
      </c>
      <c r="T31" s="328"/>
      <c r="AB31" s="265"/>
    </row>
    <row r="32" spans="1:28" s="94" customFormat="1" ht="28" customHeight="1" x14ac:dyDescent="0.2">
      <c r="A32" s="265"/>
      <c r="B32" s="277" t="s">
        <v>147</v>
      </c>
      <c r="C32" s="244" t="s">
        <v>124</v>
      </c>
      <c r="D32" s="326" t="s">
        <v>127</v>
      </c>
      <c r="E32" s="247">
        <v>0</v>
      </c>
      <c r="F32" s="266"/>
      <c r="G32" s="397">
        <f>(((VLOOKUP($D32,Data!$W$4:$Z$69,2,FALSE)*$E32))/$G$3)*Data!$W$3</f>
        <v>0</v>
      </c>
      <c r="H32" s="267" t="s">
        <v>116</v>
      </c>
      <c r="I32" s="244"/>
      <c r="J32" s="397">
        <f>(((VLOOKUP($D32,Data!$W$4:$Z$69,3,FALSE)*$E32))/$G$3)*Data!$W$3</f>
        <v>0</v>
      </c>
      <c r="K32" s="267" t="s">
        <v>116</v>
      </c>
      <c r="L32" s="244"/>
      <c r="M32" s="397">
        <f>(((VLOOKUP($D32,Data!$W$4:$Z$69,4,FALSE)*$E32))/$G$3)*Data!$W$3</f>
        <v>0</v>
      </c>
      <c r="N32" s="268" t="s">
        <v>117</v>
      </c>
      <c r="O32" s="275"/>
      <c r="P32" s="313">
        <v>0</v>
      </c>
      <c r="Q32" s="310">
        <f t="shared" si="0"/>
        <v>0</v>
      </c>
      <c r="R32" s="244"/>
      <c r="S32" s="327">
        <f>ROUND((G32*$G$3*COS(RADIANS(0.5))*3.41)/4,0)</f>
        <v>0</v>
      </c>
      <c r="T32" s="328"/>
      <c r="AB32" s="265"/>
    </row>
    <row r="33" spans="1:28" s="94" customFormat="1" ht="28" customHeight="1" x14ac:dyDescent="0.2">
      <c r="A33" s="265"/>
      <c r="B33" s="277" t="s">
        <v>148</v>
      </c>
      <c r="C33" s="244" t="s">
        <v>124</v>
      </c>
      <c r="D33" s="326" t="s">
        <v>127</v>
      </c>
      <c r="E33" s="247">
        <v>0</v>
      </c>
      <c r="F33" s="266"/>
      <c r="G33" s="397">
        <f>(((VLOOKUP($D33,Data!$W$4:$Z$69,2,FALSE)*$E33))/$G$3)*Data!$W$3</f>
        <v>0</v>
      </c>
      <c r="H33" s="267" t="s">
        <v>116</v>
      </c>
      <c r="I33" s="244"/>
      <c r="J33" s="397">
        <f>(((VLOOKUP($D33,Data!$W$4:$Z$69,3,FALSE)*$E33))/$G$3)*Data!$W$3</f>
        <v>0</v>
      </c>
      <c r="K33" s="267" t="s">
        <v>116</v>
      </c>
      <c r="L33" s="244"/>
      <c r="M33" s="397">
        <f>(((VLOOKUP($D33,Data!$W$4:$Z$69,4,FALSE)*$E33))/$G$3)*Data!$W$3</f>
        <v>0</v>
      </c>
      <c r="N33" s="268" t="s">
        <v>117</v>
      </c>
      <c r="O33" s="275"/>
      <c r="P33" s="313">
        <v>0</v>
      </c>
      <c r="Q33" s="310">
        <f t="shared" si="0"/>
        <v>0</v>
      </c>
      <c r="R33" s="244"/>
      <c r="S33" s="327">
        <f t="shared" si="1"/>
        <v>0</v>
      </c>
      <c r="T33" s="328"/>
      <c r="AB33" s="265"/>
    </row>
    <row r="34" spans="1:28" s="94" customFormat="1" ht="28" customHeight="1" x14ac:dyDescent="0.2">
      <c r="A34" s="265"/>
      <c r="B34" s="277" t="s">
        <v>149</v>
      </c>
      <c r="C34" s="244" t="s">
        <v>124</v>
      </c>
      <c r="D34" s="326" t="s">
        <v>127</v>
      </c>
      <c r="E34" s="247">
        <v>0</v>
      </c>
      <c r="F34" s="266"/>
      <c r="G34" s="397">
        <f>(((VLOOKUP($D34,Data!$W$4:$Z$69,2,FALSE)*$E34))/$G$3)*Data!$W$3</f>
        <v>0</v>
      </c>
      <c r="H34" s="267" t="s">
        <v>116</v>
      </c>
      <c r="I34" s="244"/>
      <c r="J34" s="397">
        <f>(((VLOOKUP($D34,Data!$W$4:$Z$69,3,FALSE)*$E34))/$G$3)*Data!$W$3</f>
        <v>0</v>
      </c>
      <c r="K34" s="267" t="s">
        <v>116</v>
      </c>
      <c r="L34" s="244"/>
      <c r="M34" s="397">
        <f>(((VLOOKUP($D34,Data!$W$4:$Z$69,4,FALSE)*$E34))/$G$3)*Data!$W$3</f>
        <v>0</v>
      </c>
      <c r="N34" s="268" t="s">
        <v>117</v>
      </c>
      <c r="O34" s="275"/>
      <c r="P34" s="313">
        <v>0</v>
      </c>
      <c r="Q34" s="310">
        <f t="shared" si="0"/>
        <v>0</v>
      </c>
      <c r="R34" s="244"/>
      <c r="S34" s="327">
        <f t="shared" si="1"/>
        <v>0</v>
      </c>
      <c r="T34" s="328"/>
      <c r="AB34" s="265"/>
    </row>
    <row r="35" spans="1:28" s="94" customFormat="1" ht="28" customHeight="1" x14ac:dyDescent="0.2">
      <c r="A35" s="265"/>
      <c r="B35" s="277" t="s">
        <v>150</v>
      </c>
      <c r="C35" s="244" t="s">
        <v>124</v>
      </c>
      <c r="D35" s="326" t="s">
        <v>127</v>
      </c>
      <c r="E35" s="247">
        <v>0</v>
      </c>
      <c r="F35" s="266"/>
      <c r="G35" s="397">
        <f>(((VLOOKUP($D35,Data!$W$4:$Z$69,2,FALSE)*$E35))/$G$3)*Data!$W$3</f>
        <v>0</v>
      </c>
      <c r="H35" s="267" t="s">
        <v>116</v>
      </c>
      <c r="I35" s="244"/>
      <c r="J35" s="397">
        <f>(((VLOOKUP($D35,Data!$W$4:$Z$69,3,FALSE)*$E35))/$G$3)*Data!$W$3</f>
        <v>0</v>
      </c>
      <c r="K35" s="267" t="s">
        <v>116</v>
      </c>
      <c r="L35" s="244"/>
      <c r="M35" s="397">
        <f>(((VLOOKUP($D35,Data!$W$4:$Z$69,4,FALSE)*$E35))/$G$3)*Data!$W$3</f>
        <v>0</v>
      </c>
      <c r="N35" s="268" t="s">
        <v>117</v>
      </c>
      <c r="O35" s="275"/>
      <c r="P35" s="313">
        <v>0</v>
      </c>
      <c r="Q35" s="310">
        <f t="shared" si="0"/>
        <v>0</v>
      </c>
      <c r="R35" s="244"/>
      <c r="S35" s="327">
        <f t="shared" si="1"/>
        <v>0</v>
      </c>
      <c r="T35" s="328"/>
      <c r="AB35" s="265"/>
    </row>
    <row r="36" spans="1:28" s="94" customFormat="1" ht="28" customHeight="1" x14ac:dyDescent="0.2">
      <c r="A36" s="265"/>
      <c r="B36" s="277" t="s">
        <v>151</v>
      </c>
      <c r="C36" s="244" t="s">
        <v>124</v>
      </c>
      <c r="D36" s="326" t="s">
        <v>127</v>
      </c>
      <c r="E36" s="247">
        <v>0</v>
      </c>
      <c r="F36" s="266"/>
      <c r="G36" s="397">
        <f>(((VLOOKUP($D36,Data!$W$4:$Z$69,2,FALSE)*$E36))/$G$3)*Data!$W$3</f>
        <v>0</v>
      </c>
      <c r="H36" s="267" t="s">
        <v>116</v>
      </c>
      <c r="I36" s="244"/>
      <c r="J36" s="397">
        <f>(((VLOOKUP($D36,Data!$W$4:$Z$69,3,FALSE)*$E36))/$G$3)*Data!$W$3</f>
        <v>0</v>
      </c>
      <c r="K36" s="267" t="s">
        <v>116</v>
      </c>
      <c r="L36" s="244"/>
      <c r="M36" s="397">
        <f>(((VLOOKUP($D36,Data!$W$4:$Z$69,4,FALSE)*$E36))/$G$3)*Data!$W$3</f>
        <v>0</v>
      </c>
      <c r="N36" s="268" t="s">
        <v>117</v>
      </c>
      <c r="O36" s="275"/>
      <c r="P36" s="313">
        <v>0</v>
      </c>
      <c r="Q36" s="310">
        <f t="shared" si="0"/>
        <v>0</v>
      </c>
      <c r="R36" s="244"/>
      <c r="S36" s="327">
        <f t="shared" si="1"/>
        <v>0</v>
      </c>
      <c r="T36" s="328"/>
      <c r="AB36" s="265"/>
    </row>
    <row r="37" spans="1:28" s="94" customFormat="1" ht="28" customHeight="1" x14ac:dyDescent="0.2">
      <c r="A37" s="265"/>
      <c r="B37" s="277" t="s">
        <v>152</v>
      </c>
      <c r="C37" s="244" t="s">
        <v>124</v>
      </c>
      <c r="D37" s="326" t="s">
        <v>127</v>
      </c>
      <c r="E37" s="247">
        <v>0</v>
      </c>
      <c r="F37" s="266"/>
      <c r="G37" s="397">
        <f>(((VLOOKUP($D37,Data!$W$4:$Z$69,2,FALSE)*$E37))/$G$3)*Data!$W$3</f>
        <v>0</v>
      </c>
      <c r="H37" s="267" t="s">
        <v>116</v>
      </c>
      <c r="I37" s="244"/>
      <c r="J37" s="397">
        <f>(((VLOOKUP($D37,Data!$W$4:$Z$69,3,FALSE)*$E37))/$G$3)*Data!$W$3</f>
        <v>0</v>
      </c>
      <c r="K37" s="267" t="s">
        <v>116</v>
      </c>
      <c r="L37" s="244"/>
      <c r="M37" s="397">
        <f>(((VLOOKUP($D37,Data!$W$4:$Z$69,4,FALSE)*$E37))/$G$3)*Data!$W$3</f>
        <v>0</v>
      </c>
      <c r="N37" s="268" t="s">
        <v>117</v>
      </c>
      <c r="O37" s="275"/>
      <c r="P37" s="313">
        <v>0</v>
      </c>
      <c r="Q37" s="310">
        <f t="shared" si="0"/>
        <v>0</v>
      </c>
      <c r="R37" s="244"/>
      <c r="S37" s="327">
        <f t="shared" si="1"/>
        <v>0</v>
      </c>
      <c r="T37" s="328"/>
      <c r="AB37" s="265"/>
    </row>
    <row r="38" spans="1:28" s="94" customFormat="1" ht="28" customHeight="1" x14ac:dyDescent="0.2">
      <c r="A38" s="265"/>
      <c r="B38" s="277" t="s">
        <v>153</v>
      </c>
      <c r="C38" s="244" t="s">
        <v>124</v>
      </c>
      <c r="D38" s="326" t="s">
        <v>127</v>
      </c>
      <c r="E38" s="247">
        <v>0</v>
      </c>
      <c r="F38" s="266"/>
      <c r="G38" s="397">
        <f>(((VLOOKUP($D38,Data!$W$4:$Z$69,2,FALSE)*$E38))/$G$3)*Data!$W$3</f>
        <v>0</v>
      </c>
      <c r="H38" s="267" t="s">
        <v>116</v>
      </c>
      <c r="I38" s="244"/>
      <c r="J38" s="397">
        <f>(((VLOOKUP($D38,Data!$W$4:$Z$69,3,FALSE)*$E38))/$G$3)*Data!$W$3</f>
        <v>0</v>
      </c>
      <c r="K38" s="267" t="s">
        <v>116</v>
      </c>
      <c r="L38" s="244"/>
      <c r="M38" s="397">
        <f>(((VLOOKUP($D38,Data!$W$4:$Z$69,4,FALSE)*$E38))/$G$3)*Data!$W$3</f>
        <v>0</v>
      </c>
      <c r="N38" s="268" t="s">
        <v>117</v>
      </c>
      <c r="O38" s="275"/>
      <c r="P38" s="313">
        <v>0</v>
      </c>
      <c r="Q38" s="310">
        <f t="shared" si="0"/>
        <v>0</v>
      </c>
      <c r="R38" s="244"/>
      <c r="S38" s="327">
        <f t="shared" si="1"/>
        <v>0</v>
      </c>
      <c r="T38" s="328"/>
      <c r="AB38" s="265"/>
    </row>
    <row r="39" spans="1:28" s="94" customFormat="1" ht="28" customHeight="1" x14ac:dyDescent="0.2">
      <c r="A39" s="265"/>
      <c r="B39" s="277" t="s">
        <v>154</v>
      </c>
      <c r="C39" s="244" t="s">
        <v>124</v>
      </c>
      <c r="D39" s="326" t="s">
        <v>127</v>
      </c>
      <c r="E39" s="247">
        <v>0</v>
      </c>
      <c r="F39" s="266"/>
      <c r="G39" s="397">
        <f>(((VLOOKUP($D39,Data!$W$4:$Z$69,2,FALSE)*$E39))/$G$3)*Data!$W$3</f>
        <v>0</v>
      </c>
      <c r="H39" s="267" t="s">
        <v>116</v>
      </c>
      <c r="I39" s="244"/>
      <c r="J39" s="397">
        <f>(((VLOOKUP($D39,Data!$W$4:$Z$69,3,FALSE)*$E39))/$G$3)*Data!$W$3</f>
        <v>0</v>
      </c>
      <c r="K39" s="267" t="s">
        <v>116</v>
      </c>
      <c r="L39" s="244"/>
      <c r="M39" s="397">
        <f>(((VLOOKUP($D39,Data!$W$4:$Z$69,4,FALSE)*$E39))/$G$3)*Data!$W$3</f>
        <v>0</v>
      </c>
      <c r="N39" s="268" t="s">
        <v>117</v>
      </c>
      <c r="O39" s="275"/>
      <c r="P39" s="313">
        <v>0</v>
      </c>
      <c r="Q39" s="310">
        <f t="shared" si="0"/>
        <v>0</v>
      </c>
      <c r="R39" s="244"/>
      <c r="S39" s="327">
        <f t="shared" si="1"/>
        <v>0</v>
      </c>
      <c r="T39" s="328"/>
      <c r="AB39" s="265"/>
    </row>
    <row r="40" spans="1:28" s="94" customFormat="1" ht="28" customHeight="1" x14ac:dyDescent="0.2">
      <c r="A40" s="265"/>
      <c r="B40" s="277" t="s">
        <v>155</v>
      </c>
      <c r="C40" s="244" t="s">
        <v>124</v>
      </c>
      <c r="D40" s="326" t="s">
        <v>127</v>
      </c>
      <c r="E40" s="246">
        <v>0</v>
      </c>
      <c r="F40" s="266"/>
      <c r="G40" s="397">
        <f>(((VLOOKUP($D40,Data!$W$4:$Z$69,2,FALSE)*$E40))/$G$3)*Data!$W$3</f>
        <v>0</v>
      </c>
      <c r="H40" s="267" t="s">
        <v>116</v>
      </c>
      <c r="I40" s="244"/>
      <c r="J40" s="397">
        <f>(((VLOOKUP($D40,Data!$W$4:$Z$69,3,FALSE)*$E40))/$G$3)*Data!$W$3</f>
        <v>0</v>
      </c>
      <c r="K40" s="267" t="s">
        <v>116</v>
      </c>
      <c r="L40" s="244"/>
      <c r="M40" s="397">
        <f>(((VLOOKUP($D40,Data!$W$4:$Z$69,4,FALSE)*$E40))/$G$3)*Data!$W$3</f>
        <v>0</v>
      </c>
      <c r="N40" s="268" t="s">
        <v>117</v>
      </c>
      <c r="O40" s="275"/>
      <c r="P40" s="314">
        <v>0</v>
      </c>
      <c r="Q40" s="310">
        <f t="shared" si="0"/>
        <v>0</v>
      </c>
      <c r="R40" s="244"/>
      <c r="S40" s="327">
        <f t="shared" si="1"/>
        <v>0</v>
      </c>
      <c r="T40" s="328"/>
      <c r="AB40" s="265"/>
    </row>
    <row r="41" spans="1:28" s="94" customFormat="1" ht="28" customHeight="1" x14ac:dyDescent="0.2">
      <c r="A41" s="265"/>
      <c r="B41" s="276"/>
      <c r="C41" s="244"/>
      <c r="D41" s="244"/>
      <c r="E41" s="266"/>
      <c r="F41" s="266"/>
      <c r="G41" s="285"/>
      <c r="H41" s="286"/>
      <c r="I41" s="244"/>
      <c r="J41" s="285"/>
      <c r="K41" s="286"/>
      <c r="L41" s="244"/>
      <c r="M41" s="285"/>
      <c r="N41" s="275"/>
      <c r="O41" s="275"/>
      <c r="P41" s="323"/>
      <c r="Q41" s="315"/>
      <c r="R41" s="244"/>
      <c r="S41" s="299"/>
      <c r="T41" s="328"/>
      <c r="AB41" s="265"/>
    </row>
    <row r="42" spans="1:28" x14ac:dyDescent="0.2">
      <c r="A42" s="317"/>
      <c r="B42" s="318" t="s">
        <v>156</v>
      </c>
      <c r="C42" s="318"/>
      <c r="D42" s="318"/>
      <c r="E42" s="318"/>
      <c r="F42" s="318"/>
      <c r="G42" s="318"/>
      <c r="H42" s="318"/>
      <c r="I42" s="318"/>
      <c r="J42" s="318"/>
      <c r="K42" s="318"/>
      <c r="L42" s="318"/>
      <c r="M42" s="318"/>
      <c r="N42" s="319"/>
      <c r="O42" s="320"/>
      <c r="P42" s="321" t="str">
        <f>Data!$G$1</f>
        <v>© 2021</v>
      </c>
      <c r="Q42" s="44"/>
      <c r="R42" s="317"/>
      <c r="S42" s="288"/>
      <c r="T42" s="322" t="str">
        <f>Data!$M$1</f>
        <v>06.257.005.01 C</v>
      </c>
      <c r="AB42" s="71"/>
    </row>
    <row r="43" spans="1:28" hidden="1" x14ac:dyDescent="0.2">
      <c r="A43" s="71"/>
      <c r="B43" s="71"/>
      <c r="C43" s="71"/>
      <c r="D43" s="71"/>
      <c r="E43" s="71"/>
      <c r="F43" s="71"/>
      <c r="G43" s="251"/>
      <c r="H43" s="252"/>
      <c r="I43" s="71"/>
      <c r="J43" s="251"/>
      <c r="K43" s="252"/>
      <c r="L43" s="71"/>
      <c r="M43" s="251"/>
      <c r="N43" s="252"/>
      <c r="O43" s="252"/>
      <c r="P43" s="280"/>
      <c r="Q43" s="252"/>
      <c r="R43" s="71"/>
      <c r="S43" s="288"/>
      <c r="AB43" s="71"/>
    </row>
    <row r="44" spans="1:28" hidden="1" x14ac:dyDescent="0.2">
      <c r="A44" s="71"/>
      <c r="B44" s="71"/>
      <c r="C44" s="71"/>
      <c r="D44" s="71"/>
      <c r="E44" s="71"/>
      <c r="F44" s="71"/>
      <c r="G44" s="251"/>
      <c r="H44" s="252"/>
      <c r="I44" s="71"/>
      <c r="J44" s="251"/>
      <c r="K44" s="252"/>
      <c r="L44" s="71"/>
      <c r="M44" s="251"/>
      <c r="N44" s="252"/>
      <c r="O44" s="252"/>
      <c r="P44" s="280"/>
      <c r="Q44" s="252"/>
      <c r="R44" s="71"/>
      <c r="S44" s="288"/>
      <c r="AB44" s="71"/>
    </row>
    <row r="45" spans="1:28" hidden="1" x14ac:dyDescent="0.2">
      <c r="A45" s="71"/>
      <c r="B45" s="71"/>
      <c r="C45" s="71"/>
      <c r="D45" s="71"/>
      <c r="E45" s="71"/>
      <c r="F45" s="71"/>
      <c r="G45" s="251"/>
      <c r="H45" s="252"/>
      <c r="I45" s="71"/>
      <c r="J45" s="251"/>
      <c r="K45" s="252"/>
      <c r="L45" s="71"/>
      <c r="M45" s="251"/>
      <c r="N45" s="252"/>
      <c r="O45" s="252"/>
      <c r="P45" s="280"/>
      <c r="Q45" s="252"/>
      <c r="R45" s="71"/>
      <c r="S45" s="288"/>
      <c r="AB45" s="71"/>
    </row>
    <row r="46" spans="1:28" hidden="1" x14ac:dyDescent="0.2">
      <c r="A46" s="71"/>
      <c r="B46" s="71"/>
      <c r="C46" s="71"/>
      <c r="D46" s="71"/>
      <c r="E46" s="71"/>
      <c r="F46" s="71"/>
      <c r="G46" s="251"/>
      <c r="H46" s="252"/>
      <c r="I46" s="71"/>
      <c r="J46" s="251"/>
      <c r="K46" s="252"/>
      <c r="L46" s="71"/>
      <c r="M46" s="251"/>
      <c r="N46" s="252"/>
      <c r="O46" s="252"/>
      <c r="P46" s="280"/>
      <c r="Q46" s="252"/>
      <c r="R46" s="71"/>
      <c r="S46" s="288"/>
      <c r="AB46" s="71"/>
    </row>
    <row r="47" spans="1:28" hidden="1" x14ac:dyDescent="0.2">
      <c r="A47" s="71"/>
      <c r="B47" s="71"/>
      <c r="C47" s="71"/>
      <c r="D47" s="71"/>
      <c r="E47" s="71"/>
      <c r="F47" s="71"/>
      <c r="G47" s="251"/>
      <c r="H47" s="252"/>
      <c r="I47" s="71"/>
      <c r="J47" s="251"/>
      <c r="K47" s="252"/>
      <c r="L47" s="71"/>
      <c r="M47" s="251"/>
      <c r="N47" s="252"/>
      <c r="O47" s="252"/>
      <c r="P47" s="280"/>
      <c r="Q47" s="252"/>
      <c r="R47" s="71"/>
      <c r="S47" s="288"/>
      <c r="AB47" s="71"/>
    </row>
    <row r="48" spans="1:28" hidden="1" x14ac:dyDescent="0.2">
      <c r="A48" s="71"/>
      <c r="B48" s="71"/>
      <c r="C48" s="71"/>
      <c r="D48" s="71"/>
      <c r="E48" s="71"/>
      <c r="F48" s="71"/>
      <c r="G48" s="251"/>
      <c r="H48" s="252"/>
      <c r="I48" s="71"/>
      <c r="J48" s="251"/>
      <c r="K48" s="252"/>
      <c r="L48" s="71"/>
      <c r="M48" s="251"/>
      <c r="N48" s="252"/>
      <c r="O48" s="252"/>
      <c r="P48" s="280"/>
      <c r="Q48" s="252"/>
      <c r="R48" s="71"/>
      <c r="S48" s="288"/>
      <c r="AB48" s="71"/>
    </row>
    <row r="49" spans="1:28" hidden="1" x14ac:dyDescent="0.2">
      <c r="A49" s="71"/>
      <c r="B49" s="71"/>
      <c r="C49" s="71"/>
      <c r="D49" s="71"/>
      <c r="E49" s="71"/>
      <c r="F49" s="71"/>
      <c r="G49" s="251"/>
      <c r="H49" s="252"/>
      <c r="I49" s="71"/>
      <c r="J49" s="251"/>
      <c r="K49" s="252"/>
      <c r="L49" s="71"/>
      <c r="M49" s="251"/>
      <c r="N49" s="252"/>
      <c r="O49" s="252"/>
      <c r="P49" s="280"/>
      <c r="Q49" s="252"/>
      <c r="R49" s="71"/>
      <c r="S49" s="288"/>
      <c r="AB49" s="71"/>
    </row>
    <row r="50" spans="1:28" hidden="1" x14ac:dyDescent="0.2">
      <c r="A50" s="71"/>
      <c r="B50" s="71"/>
      <c r="C50" s="71"/>
      <c r="D50" s="71"/>
      <c r="E50" s="71"/>
      <c r="F50" s="71"/>
      <c r="G50" s="251"/>
      <c r="H50" s="252"/>
      <c r="I50" s="71"/>
      <c r="J50" s="251"/>
      <c r="K50" s="252"/>
      <c r="L50" s="71"/>
      <c r="M50" s="251"/>
      <c r="N50" s="252"/>
      <c r="O50" s="252"/>
      <c r="P50" s="280"/>
      <c r="Q50" s="252"/>
      <c r="R50" s="71"/>
      <c r="S50" s="288"/>
      <c r="AB50" s="71"/>
    </row>
    <row r="51" spans="1:28" hidden="1" x14ac:dyDescent="0.2">
      <c r="A51" s="71"/>
      <c r="B51" s="71"/>
      <c r="C51" s="71"/>
      <c r="D51" s="71"/>
      <c r="E51" s="71"/>
      <c r="F51" s="71"/>
      <c r="G51" s="251"/>
      <c r="H51" s="252"/>
      <c r="I51" s="71"/>
      <c r="J51" s="251"/>
      <c r="K51" s="252"/>
      <c r="L51" s="71"/>
      <c r="M51" s="251"/>
      <c r="N51" s="252"/>
      <c r="O51" s="252"/>
      <c r="P51" s="280"/>
      <c r="Q51" s="252"/>
      <c r="R51" s="71"/>
      <c r="S51" s="288"/>
      <c r="AB51" s="71"/>
    </row>
    <row r="52" spans="1:28" hidden="1" x14ac:dyDescent="0.2">
      <c r="A52" s="71"/>
      <c r="B52" s="71"/>
      <c r="C52" s="71"/>
      <c r="D52" s="71"/>
      <c r="E52" s="71"/>
      <c r="F52" s="71"/>
      <c r="G52" s="251"/>
      <c r="H52" s="252"/>
      <c r="I52" s="71"/>
      <c r="J52" s="251"/>
      <c r="K52" s="252"/>
      <c r="L52" s="71"/>
      <c r="M52" s="251"/>
      <c r="N52" s="252"/>
      <c r="O52" s="252"/>
      <c r="P52" s="280"/>
      <c r="Q52" s="252"/>
      <c r="R52" s="71"/>
      <c r="S52" s="288"/>
      <c r="AB52" s="71"/>
    </row>
    <row r="53" spans="1:28" hidden="1" x14ac:dyDescent="0.2">
      <c r="A53" s="71"/>
      <c r="B53" s="71"/>
      <c r="C53" s="71"/>
      <c r="D53" s="71"/>
      <c r="E53" s="71"/>
      <c r="F53" s="71"/>
      <c r="G53" s="251"/>
      <c r="H53" s="252"/>
      <c r="I53" s="71"/>
      <c r="J53" s="251"/>
      <c r="K53" s="252"/>
      <c r="L53" s="71"/>
      <c r="M53" s="251"/>
      <c r="N53" s="252"/>
      <c r="O53" s="252"/>
      <c r="P53" s="280"/>
      <c r="Q53" s="252"/>
      <c r="R53" s="71"/>
      <c r="S53" s="288"/>
      <c r="AB53" s="71"/>
    </row>
    <row r="54" spans="1:28" hidden="1" x14ac:dyDescent="0.2">
      <c r="A54" s="71"/>
      <c r="B54" s="71"/>
      <c r="C54" s="71"/>
      <c r="D54" s="71"/>
      <c r="E54" s="71"/>
      <c r="F54" s="71"/>
      <c r="G54" s="251"/>
      <c r="H54" s="252"/>
      <c r="I54" s="71"/>
      <c r="J54" s="251"/>
      <c r="K54" s="252"/>
      <c r="L54" s="71"/>
      <c r="M54" s="251"/>
      <c r="N54" s="252"/>
      <c r="O54" s="252"/>
      <c r="P54" s="280"/>
      <c r="Q54" s="252"/>
      <c r="R54" s="71"/>
      <c r="S54" s="288"/>
      <c r="AB54" s="71"/>
    </row>
    <row r="55" spans="1:28" hidden="1" x14ac:dyDescent="0.2">
      <c r="A55" s="71"/>
      <c r="B55" s="71"/>
      <c r="C55" s="71"/>
      <c r="D55" s="71"/>
      <c r="E55" s="71"/>
      <c r="F55" s="71"/>
      <c r="G55" s="251"/>
      <c r="H55" s="252"/>
      <c r="I55" s="71"/>
      <c r="J55" s="251"/>
      <c r="K55" s="252"/>
      <c r="L55" s="71"/>
      <c r="M55" s="251"/>
      <c r="N55" s="252"/>
      <c r="O55" s="252"/>
      <c r="P55" s="280"/>
      <c r="Q55" s="252"/>
      <c r="R55" s="71"/>
      <c r="S55" s="288"/>
      <c r="AB55" s="71"/>
    </row>
    <row r="56" spans="1:28" hidden="1" x14ac:dyDescent="0.2">
      <c r="A56" s="71"/>
      <c r="B56" s="71"/>
      <c r="C56" s="71"/>
      <c r="D56" s="71"/>
      <c r="E56" s="71"/>
      <c r="F56" s="71"/>
      <c r="G56" s="251"/>
      <c r="H56" s="252"/>
      <c r="I56" s="71"/>
      <c r="J56" s="251"/>
      <c r="K56" s="252"/>
      <c r="L56" s="71"/>
      <c r="M56" s="251"/>
      <c r="N56" s="252"/>
      <c r="O56" s="252"/>
      <c r="P56" s="280"/>
      <c r="Q56" s="252"/>
      <c r="R56" s="71"/>
      <c r="S56" s="288"/>
      <c r="AB56" s="71"/>
    </row>
    <row r="57" spans="1:28" hidden="1" x14ac:dyDescent="0.2">
      <c r="A57" s="71"/>
      <c r="B57" s="71"/>
      <c r="C57" s="71"/>
      <c r="D57" s="71"/>
      <c r="E57" s="71"/>
      <c r="F57" s="71"/>
      <c r="G57" s="251"/>
      <c r="H57" s="252"/>
      <c r="I57" s="71"/>
      <c r="J57" s="251"/>
      <c r="K57" s="252"/>
      <c r="L57" s="71"/>
      <c r="M57" s="251"/>
      <c r="N57" s="252"/>
      <c r="O57" s="252"/>
      <c r="P57" s="280"/>
      <c r="Q57" s="252"/>
      <c r="R57" s="71"/>
      <c r="S57" s="288"/>
      <c r="AB57" s="71"/>
    </row>
    <row r="58" spans="1:28" hidden="1" x14ac:dyDescent="0.2">
      <c r="A58" s="71"/>
      <c r="B58" s="71"/>
      <c r="C58" s="71"/>
      <c r="D58" s="71"/>
      <c r="E58" s="71"/>
      <c r="F58" s="71"/>
      <c r="G58" s="251"/>
      <c r="H58" s="252"/>
      <c r="I58" s="71"/>
      <c r="J58" s="251"/>
      <c r="K58" s="252"/>
      <c r="L58" s="71"/>
      <c r="M58" s="251"/>
      <c r="N58" s="252"/>
      <c r="O58" s="252"/>
      <c r="P58" s="280"/>
      <c r="Q58" s="252"/>
      <c r="R58" s="71"/>
      <c r="S58" s="288"/>
      <c r="AB58" s="71"/>
    </row>
    <row r="59" spans="1:28" hidden="1" x14ac:dyDescent="0.2">
      <c r="A59" s="71"/>
      <c r="B59" s="71"/>
      <c r="C59" s="71"/>
      <c r="D59" s="71"/>
      <c r="E59" s="71"/>
      <c r="F59" s="71"/>
      <c r="G59" s="251"/>
      <c r="H59" s="252"/>
      <c r="I59" s="71"/>
      <c r="J59" s="251"/>
      <c r="K59" s="252"/>
      <c r="L59" s="71"/>
      <c r="M59" s="251"/>
      <c r="N59" s="252"/>
      <c r="O59" s="252"/>
      <c r="P59" s="280"/>
      <c r="Q59" s="252"/>
      <c r="R59" s="71"/>
      <c r="S59" s="288"/>
      <c r="AB59" s="71"/>
    </row>
    <row r="60" spans="1:28" hidden="1" x14ac:dyDescent="0.2">
      <c r="A60" s="71"/>
      <c r="B60" s="71"/>
      <c r="C60" s="71"/>
      <c r="D60" s="71"/>
      <c r="E60" s="71"/>
      <c r="F60" s="71"/>
      <c r="G60" s="251"/>
      <c r="H60" s="252"/>
      <c r="I60" s="71"/>
      <c r="J60" s="251"/>
      <c r="K60" s="252"/>
      <c r="L60" s="71"/>
      <c r="M60" s="251"/>
      <c r="N60" s="252"/>
      <c r="O60" s="252"/>
      <c r="P60" s="280"/>
      <c r="Q60" s="252"/>
      <c r="R60" s="71"/>
      <c r="S60" s="288"/>
      <c r="AB60" s="71"/>
    </row>
    <row r="61" spans="1:28" hidden="1" x14ac:dyDescent="0.2">
      <c r="A61" s="71"/>
      <c r="B61" s="71"/>
      <c r="C61" s="71"/>
      <c r="D61" s="71"/>
      <c r="E61" s="71"/>
      <c r="F61" s="71"/>
      <c r="G61" s="251"/>
      <c r="H61" s="252"/>
      <c r="I61" s="71"/>
      <c r="J61" s="251"/>
      <c r="K61" s="252"/>
      <c r="L61" s="71"/>
      <c r="M61" s="251"/>
      <c r="N61" s="252"/>
      <c r="O61" s="252"/>
      <c r="P61" s="280"/>
      <c r="Q61" s="252"/>
      <c r="R61" s="71"/>
      <c r="S61" s="288"/>
      <c r="AB61" s="71"/>
    </row>
    <row r="62" spans="1:28" hidden="1" x14ac:dyDescent="0.2">
      <c r="A62" s="71"/>
      <c r="B62" s="71"/>
      <c r="C62" s="71"/>
      <c r="D62" s="71"/>
      <c r="E62" s="71"/>
      <c r="F62" s="71"/>
      <c r="G62" s="251"/>
      <c r="H62" s="252"/>
      <c r="I62" s="71"/>
      <c r="J62" s="251"/>
      <c r="K62" s="252"/>
      <c r="L62" s="71"/>
      <c r="M62" s="251"/>
      <c r="N62" s="252"/>
      <c r="O62" s="252"/>
      <c r="P62" s="280"/>
      <c r="Q62" s="252"/>
      <c r="R62" s="71"/>
      <c r="S62" s="288"/>
      <c r="AB62" s="71"/>
    </row>
    <row r="63" spans="1:28" hidden="1" x14ac:dyDescent="0.2">
      <c r="A63" s="71"/>
      <c r="B63" s="71"/>
      <c r="C63" s="71"/>
      <c r="D63" s="71"/>
      <c r="E63" s="71"/>
      <c r="F63" s="71"/>
      <c r="G63" s="251"/>
      <c r="H63" s="252"/>
      <c r="I63" s="71"/>
      <c r="J63" s="251"/>
      <c r="K63" s="252"/>
      <c r="L63" s="71"/>
      <c r="M63" s="251"/>
      <c r="N63" s="252"/>
      <c r="O63" s="252"/>
      <c r="P63" s="280"/>
      <c r="Q63" s="252"/>
      <c r="R63" s="71"/>
      <c r="S63" s="288"/>
      <c r="AB63" s="71"/>
    </row>
    <row r="64" spans="1:28" hidden="1" x14ac:dyDescent="0.2">
      <c r="A64" s="71"/>
      <c r="B64" s="71"/>
      <c r="C64" s="71"/>
      <c r="D64" s="71"/>
      <c r="E64" s="71"/>
      <c r="F64" s="71"/>
      <c r="G64" s="251"/>
      <c r="H64" s="252"/>
      <c r="I64" s="71"/>
      <c r="J64" s="251"/>
      <c r="K64" s="252"/>
      <c r="L64" s="71"/>
      <c r="M64" s="251"/>
      <c r="N64" s="252"/>
      <c r="O64" s="252"/>
      <c r="P64" s="280"/>
      <c r="Q64" s="252"/>
      <c r="R64" s="71"/>
      <c r="S64" s="288"/>
      <c r="AB64" s="71"/>
    </row>
    <row r="65" spans="1:28" hidden="1" x14ac:dyDescent="0.2">
      <c r="A65" s="71"/>
      <c r="B65" s="71"/>
      <c r="C65" s="71"/>
      <c r="D65" s="71"/>
      <c r="E65" s="71"/>
      <c r="F65" s="71"/>
      <c r="G65" s="251"/>
      <c r="H65" s="252"/>
      <c r="I65" s="71"/>
      <c r="J65" s="251"/>
      <c r="K65" s="252"/>
      <c r="L65" s="71"/>
      <c r="M65" s="251"/>
      <c r="N65" s="252"/>
      <c r="O65" s="252"/>
      <c r="P65" s="280"/>
      <c r="Q65" s="252"/>
      <c r="R65" s="71"/>
      <c r="S65" s="288"/>
      <c r="AB65" s="71"/>
    </row>
    <row r="66" spans="1:28" hidden="1" x14ac:dyDescent="0.2">
      <c r="A66" s="71"/>
      <c r="B66" s="71"/>
      <c r="C66" s="71"/>
      <c r="D66" s="71"/>
      <c r="E66" s="71"/>
      <c r="F66" s="71"/>
      <c r="G66" s="251"/>
      <c r="H66" s="252"/>
      <c r="I66" s="71"/>
      <c r="J66" s="251"/>
      <c r="K66" s="252"/>
      <c r="L66" s="71"/>
      <c r="M66" s="251"/>
      <c r="N66" s="252"/>
      <c r="O66" s="252"/>
      <c r="P66" s="280"/>
      <c r="Q66" s="252"/>
      <c r="R66" s="71"/>
      <c r="S66" s="288"/>
      <c r="AB66" s="71"/>
    </row>
    <row r="67" spans="1:28" hidden="1" x14ac:dyDescent="0.2">
      <c r="A67" s="71"/>
      <c r="B67" s="71"/>
      <c r="C67" s="71"/>
      <c r="D67" s="71"/>
      <c r="E67" s="71"/>
      <c r="F67" s="71"/>
      <c r="G67" s="251"/>
      <c r="H67" s="252"/>
      <c r="I67" s="71"/>
      <c r="J67" s="251"/>
      <c r="K67" s="252"/>
      <c r="L67" s="71"/>
      <c r="M67" s="251"/>
      <c r="N67" s="252"/>
      <c r="O67" s="252"/>
      <c r="P67" s="280"/>
      <c r="Q67" s="252"/>
      <c r="R67" s="71"/>
      <c r="S67" s="288"/>
      <c r="AB67" s="71"/>
    </row>
    <row r="68" spans="1:28" hidden="1" x14ac:dyDescent="0.2">
      <c r="A68" s="71"/>
      <c r="B68" s="71"/>
      <c r="C68" s="71"/>
      <c r="D68" s="71"/>
      <c r="E68" s="71"/>
      <c r="F68" s="71"/>
      <c r="G68" s="251"/>
      <c r="H68" s="252"/>
      <c r="I68" s="71"/>
      <c r="J68" s="251"/>
      <c r="K68" s="252"/>
      <c r="L68" s="71"/>
      <c r="M68" s="251"/>
      <c r="N68" s="252"/>
      <c r="O68" s="252"/>
      <c r="P68" s="280"/>
      <c r="Q68" s="252"/>
      <c r="R68" s="71"/>
      <c r="S68" s="288"/>
      <c r="AB68" s="71"/>
    </row>
    <row r="69" spans="1:28" hidden="1" x14ac:dyDescent="0.2">
      <c r="A69" s="71"/>
      <c r="B69" s="71"/>
      <c r="C69" s="71"/>
      <c r="D69" s="71"/>
      <c r="E69" s="71"/>
      <c r="F69" s="71"/>
      <c r="G69" s="251"/>
      <c r="H69" s="252"/>
      <c r="I69" s="71"/>
      <c r="J69" s="251"/>
      <c r="K69" s="252"/>
      <c r="L69" s="71"/>
      <c r="M69" s="251"/>
      <c r="N69" s="252"/>
      <c r="O69" s="252"/>
      <c r="P69" s="280"/>
      <c r="Q69" s="252"/>
      <c r="R69" s="71"/>
      <c r="S69" s="288"/>
      <c r="AB69" s="71"/>
    </row>
    <row r="70" spans="1:28" hidden="1" x14ac:dyDescent="0.2">
      <c r="A70" s="71"/>
      <c r="B70" s="71"/>
      <c r="C70" s="71"/>
      <c r="D70" s="71"/>
      <c r="E70" s="71"/>
      <c r="F70" s="71"/>
      <c r="G70" s="251"/>
      <c r="H70" s="252"/>
      <c r="I70" s="71"/>
      <c r="J70" s="251"/>
      <c r="K70" s="252"/>
      <c r="L70" s="71"/>
      <c r="M70" s="251"/>
      <c r="N70" s="252"/>
      <c r="O70" s="252"/>
      <c r="P70" s="280"/>
      <c r="Q70" s="252"/>
      <c r="R70" s="71"/>
      <c r="S70" s="288"/>
      <c r="AB70" s="71"/>
    </row>
    <row r="71" spans="1:28" hidden="1" x14ac:dyDescent="0.2">
      <c r="A71" s="71"/>
      <c r="B71" s="71"/>
      <c r="C71" s="71"/>
      <c r="D71" s="71"/>
      <c r="E71" s="71"/>
      <c r="F71" s="71"/>
      <c r="G71" s="251"/>
      <c r="H71" s="252"/>
      <c r="I71" s="71"/>
      <c r="J71" s="251"/>
      <c r="K71" s="252"/>
      <c r="L71" s="71"/>
      <c r="M71" s="251"/>
      <c r="N71" s="252"/>
      <c r="O71" s="252"/>
      <c r="P71" s="280"/>
      <c r="Q71" s="252"/>
      <c r="R71" s="71"/>
      <c r="S71" s="288"/>
      <c r="AB71" s="71"/>
    </row>
    <row r="72" spans="1:28" hidden="1" x14ac:dyDescent="0.2">
      <c r="A72" s="71"/>
      <c r="B72" s="71"/>
      <c r="C72" s="71"/>
      <c r="D72" s="71"/>
      <c r="E72" s="71"/>
      <c r="F72" s="71"/>
      <c r="G72" s="251"/>
      <c r="H72" s="252"/>
      <c r="I72" s="71"/>
      <c r="J72" s="251"/>
      <c r="K72" s="252"/>
      <c r="L72" s="71"/>
      <c r="M72" s="251"/>
      <c r="N72" s="252"/>
      <c r="O72" s="252"/>
      <c r="P72" s="280"/>
      <c r="Q72" s="252"/>
      <c r="R72" s="71"/>
      <c r="S72" s="288"/>
      <c r="AB72" s="71"/>
    </row>
    <row r="73" spans="1:28" hidden="1" x14ac:dyDescent="0.2">
      <c r="A73" s="71"/>
      <c r="B73" s="71"/>
      <c r="C73" s="71"/>
      <c r="D73" s="71"/>
      <c r="E73" s="71"/>
      <c r="F73" s="71"/>
      <c r="G73" s="251"/>
      <c r="H73" s="252"/>
      <c r="I73" s="71"/>
      <c r="J73" s="251"/>
      <c r="K73" s="252"/>
      <c r="L73" s="71"/>
      <c r="M73" s="251"/>
      <c r="N73" s="252"/>
      <c r="O73" s="252"/>
      <c r="P73" s="280"/>
      <c r="Q73" s="252"/>
      <c r="R73" s="71"/>
      <c r="S73" s="288"/>
      <c r="AB73" s="71"/>
    </row>
    <row r="74" spans="1:28" hidden="1" x14ac:dyDescent="0.2">
      <c r="A74" s="71"/>
      <c r="B74" s="71"/>
      <c r="C74" s="71"/>
      <c r="D74" s="71"/>
      <c r="E74" s="71"/>
      <c r="F74" s="71"/>
      <c r="G74" s="251"/>
      <c r="H74" s="252"/>
      <c r="I74" s="71"/>
      <c r="J74" s="251"/>
      <c r="K74" s="252"/>
      <c r="L74" s="71"/>
      <c r="M74" s="251"/>
      <c r="N74" s="252"/>
      <c r="O74" s="252"/>
      <c r="P74" s="280"/>
      <c r="Q74" s="252"/>
      <c r="R74" s="71"/>
      <c r="S74" s="288"/>
      <c r="AB74" s="71"/>
    </row>
    <row r="75" spans="1:28" hidden="1" x14ac:dyDescent="0.2">
      <c r="A75" s="71"/>
      <c r="B75" s="71"/>
      <c r="C75" s="71"/>
      <c r="D75" s="71"/>
      <c r="E75" s="71"/>
      <c r="F75" s="71"/>
      <c r="G75" s="251"/>
      <c r="H75" s="252"/>
      <c r="I75" s="71"/>
      <c r="J75" s="251"/>
      <c r="K75" s="252"/>
      <c r="L75" s="71"/>
      <c r="M75" s="251"/>
      <c r="N75" s="252"/>
      <c r="O75" s="252"/>
      <c r="P75" s="280"/>
      <c r="Q75" s="252"/>
      <c r="R75" s="71"/>
      <c r="S75" s="288"/>
      <c r="AB75" s="71"/>
    </row>
    <row r="76" spans="1:28" hidden="1" x14ac:dyDescent="0.2">
      <c r="A76" s="71"/>
      <c r="B76" s="71"/>
      <c r="C76" s="71"/>
      <c r="D76" s="71"/>
      <c r="E76" s="71"/>
      <c r="F76" s="71"/>
      <c r="G76" s="251"/>
      <c r="H76" s="252"/>
      <c r="I76" s="71"/>
      <c r="J76" s="251"/>
      <c r="K76" s="252"/>
      <c r="L76" s="71"/>
      <c r="M76" s="251"/>
      <c r="N76" s="252"/>
      <c r="O76" s="252"/>
      <c r="P76" s="280"/>
      <c r="Q76" s="252"/>
      <c r="R76" s="71"/>
      <c r="S76" s="288"/>
      <c r="AB76" s="71"/>
    </row>
    <row r="77" spans="1:28" hidden="1" x14ac:dyDescent="0.2">
      <c r="A77" s="71"/>
      <c r="B77" s="71"/>
      <c r="C77" s="71"/>
      <c r="D77" s="71"/>
      <c r="E77" s="71"/>
      <c r="F77" s="71"/>
      <c r="G77" s="251"/>
      <c r="H77" s="252"/>
      <c r="I77" s="71"/>
      <c r="J77" s="251"/>
      <c r="K77" s="252"/>
      <c r="L77" s="71"/>
      <c r="M77" s="251"/>
      <c r="N77" s="252"/>
      <c r="O77" s="252"/>
      <c r="P77" s="280"/>
      <c r="Q77" s="252"/>
      <c r="R77" s="71"/>
      <c r="S77" s="288"/>
      <c r="AB77" s="71"/>
    </row>
    <row r="78" spans="1:28" hidden="1" x14ac:dyDescent="0.2">
      <c r="A78" s="71"/>
      <c r="B78" s="71"/>
      <c r="C78" s="71"/>
      <c r="D78" s="71"/>
      <c r="E78" s="71"/>
      <c r="F78" s="71"/>
      <c r="G78" s="251"/>
      <c r="H78" s="252"/>
      <c r="I78" s="71"/>
      <c r="J78" s="251"/>
      <c r="K78" s="252"/>
      <c r="L78" s="71"/>
      <c r="M78" s="251"/>
      <c r="N78" s="252"/>
      <c r="O78" s="252"/>
      <c r="P78" s="280"/>
      <c r="Q78" s="252"/>
      <c r="R78" s="71"/>
      <c r="S78" s="288"/>
      <c r="AB78" s="71"/>
    </row>
    <row r="79" spans="1:28" hidden="1" x14ac:dyDescent="0.2">
      <c r="A79" s="71"/>
      <c r="B79" s="71"/>
      <c r="C79" s="71"/>
      <c r="D79" s="71"/>
      <c r="E79" s="71"/>
      <c r="F79" s="71"/>
      <c r="G79" s="251"/>
      <c r="H79" s="252"/>
      <c r="I79" s="71"/>
      <c r="J79" s="251"/>
      <c r="K79" s="252"/>
      <c r="L79" s="71"/>
      <c r="M79" s="251"/>
      <c r="N79" s="252"/>
      <c r="O79" s="252"/>
      <c r="P79" s="280"/>
      <c r="Q79" s="252"/>
      <c r="R79" s="71"/>
      <c r="S79" s="288"/>
      <c r="AB79" s="71"/>
    </row>
    <row r="80" spans="1:28" hidden="1" x14ac:dyDescent="0.2">
      <c r="A80" s="71"/>
      <c r="B80" s="71"/>
      <c r="C80" s="71"/>
      <c r="D80" s="71"/>
      <c r="E80" s="71"/>
      <c r="F80" s="71"/>
      <c r="G80" s="251"/>
      <c r="H80" s="252"/>
      <c r="I80" s="71"/>
      <c r="J80" s="251"/>
      <c r="K80" s="252"/>
      <c r="L80" s="71"/>
      <c r="M80" s="251"/>
      <c r="N80" s="252"/>
      <c r="O80" s="252"/>
      <c r="P80" s="280"/>
      <c r="Q80" s="252"/>
      <c r="R80" s="71"/>
      <c r="S80" s="288"/>
      <c r="AB80" s="71"/>
    </row>
    <row r="81" spans="1:28" hidden="1" x14ac:dyDescent="0.2">
      <c r="A81" s="71"/>
      <c r="B81" s="71"/>
      <c r="C81" s="71"/>
      <c r="D81" s="71"/>
      <c r="E81" s="71"/>
      <c r="F81" s="71"/>
      <c r="G81" s="251"/>
      <c r="H81" s="252"/>
      <c r="I81" s="71"/>
      <c r="J81" s="251"/>
      <c r="K81" s="252"/>
      <c r="L81" s="71"/>
      <c r="M81" s="251"/>
      <c r="N81" s="252"/>
      <c r="O81" s="252"/>
      <c r="P81" s="280"/>
      <c r="Q81" s="252"/>
      <c r="R81" s="71"/>
      <c r="S81" s="288"/>
      <c r="AB81" s="71"/>
    </row>
    <row r="82" spans="1:28" hidden="1" x14ac:dyDescent="0.2">
      <c r="A82" s="71"/>
      <c r="B82" s="71"/>
      <c r="C82" s="71"/>
      <c r="D82" s="71"/>
      <c r="E82" s="71"/>
      <c r="F82" s="71"/>
      <c r="G82" s="251"/>
      <c r="H82" s="252"/>
      <c r="I82" s="71"/>
      <c r="J82" s="251"/>
      <c r="K82" s="252"/>
      <c r="L82" s="71"/>
      <c r="M82" s="251"/>
      <c r="N82" s="252"/>
      <c r="O82" s="252"/>
      <c r="P82" s="280"/>
      <c r="Q82" s="252"/>
      <c r="R82" s="71"/>
      <c r="S82" s="288"/>
      <c r="AB82" s="71"/>
    </row>
    <row r="83" spans="1:28" hidden="1" x14ac:dyDescent="0.2">
      <c r="A83" s="71"/>
      <c r="B83" s="71"/>
      <c r="C83" s="71"/>
      <c r="D83" s="71"/>
      <c r="E83" s="71"/>
      <c r="F83" s="71"/>
      <c r="G83" s="251"/>
      <c r="H83" s="252"/>
      <c r="I83" s="71"/>
      <c r="J83" s="251"/>
      <c r="K83" s="252"/>
      <c r="L83" s="71"/>
      <c r="M83" s="251"/>
      <c r="N83" s="252"/>
      <c r="O83" s="252"/>
      <c r="P83" s="280"/>
      <c r="Q83" s="252"/>
      <c r="R83" s="71"/>
      <c r="S83" s="288"/>
      <c r="AB83" s="71"/>
    </row>
    <row r="84" spans="1:28" hidden="1" x14ac:dyDescent="0.2">
      <c r="A84" s="71"/>
      <c r="B84" s="71"/>
      <c r="C84" s="71"/>
      <c r="D84" s="71"/>
      <c r="E84" s="71"/>
      <c r="F84" s="71"/>
      <c r="G84" s="251"/>
      <c r="H84" s="252"/>
      <c r="I84" s="71"/>
      <c r="J84" s="251"/>
      <c r="K84" s="252"/>
      <c r="L84" s="71"/>
      <c r="M84" s="251"/>
      <c r="N84" s="252"/>
      <c r="O84" s="252"/>
      <c r="P84" s="280"/>
      <c r="Q84" s="252"/>
      <c r="R84" s="71"/>
      <c r="S84" s="288"/>
      <c r="AB84" s="71"/>
    </row>
    <row r="85" spans="1:28" hidden="1" x14ac:dyDescent="0.2">
      <c r="A85" s="71"/>
      <c r="B85" s="71"/>
      <c r="C85" s="71"/>
      <c r="D85" s="71"/>
      <c r="E85" s="71"/>
      <c r="F85" s="71"/>
      <c r="G85" s="251"/>
      <c r="H85" s="252"/>
      <c r="I85" s="71"/>
      <c r="J85" s="251"/>
      <c r="K85" s="252"/>
      <c r="L85" s="71"/>
      <c r="M85" s="251"/>
      <c r="N85" s="252"/>
      <c r="O85" s="252"/>
      <c r="P85" s="280"/>
      <c r="Q85" s="252"/>
      <c r="R85" s="71"/>
      <c r="S85" s="288"/>
      <c r="AB85" s="71"/>
    </row>
    <row r="86" spans="1:28" hidden="1" x14ac:dyDescent="0.2">
      <c r="A86" s="71"/>
      <c r="B86" s="71"/>
      <c r="C86" s="71"/>
      <c r="D86" s="71"/>
      <c r="E86" s="71"/>
      <c r="F86" s="71"/>
      <c r="G86" s="251"/>
      <c r="H86" s="252"/>
      <c r="I86" s="71"/>
      <c r="J86" s="251"/>
      <c r="K86" s="252"/>
      <c r="L86" s="71"/>
      <c r="M86" s="251"/>
      <c r="N86" s="252"/>
      <c r="O86" s="252"/>
      <c r="P86" s="280"/>
      <c r="Q86" s="252"/>
      <c r="R86" s="71"/>
      <c r="S86" s="288"/>
      <c r="AB86" s="71"/>
    </row>
    <row r="87" spans="1:28" hidden="1" x14ac:dyDescent="0.2">
      <c r="A87" s="71"/>
      <c r="B87" s="71"/>
      <c r="C87" s="71"/>
      <c r="D87" s="71"/>
      <c r="E87" s="71"/>
      <c r="F87" s="71"/>
      <c r="G87" s="251"/>
      <c r="H87" s="252"/>
      <c r="I87" s="71"/>
      <c r="J87" s="251"/>
      <c r="K87" s="252"/>
      <c r="L87" s="71"/>
      <c r="M87" s="251"/>
      <c r="N87" s="252"/>
      <c r="O87" s="252"/>
      <c r="P87" s="280"/>
      <c r="Q87" s="252"/>
      <c r="R87" s="71"/>
      <c r="S87" s="288"/>
      <c r="AB87" s="71"/>
    </row>
    <row r="88" spans="1:28" hidden="1" x14ac:dyDescent="0.2">
      <c r="A88" s="71"/>
      <c r="B88" s="71"/>
      <c r="C88" s="71"/>
      <c r="D88" s="71"/>
      <c r="E88" s="71"/>
      <c r="F88" s="71"/>
      <c r="G88" s="251"/>
      <c r="H88" s="252"/>
      <c r="I88" s="71"/>
      <c r="J88" s="251"/>
      <c r="K88" s="252"/>
      <c r="L88" s="71"/>
      <c r="M88" s="251"/>
      <c r="N88" s="252"/>
      <c r="O88" s="252"/>
      <c r="P88" s="280"/>
      <c r="Q88" s="252"/>
      <c r="R88" s="71"/>
      <c r="S88" s="288"/>
      <c r="AB88" s="71"/>
    </row>
    <row r="89" spans="1:28" hidden="1" x14ac:dyDescent="0.2">
      <c r="A89" s="71"/>
      <c r="B89" s="71"/>
      <c r="C89" s="71"/>
      <c r="D89" s="71"/>
      <c r="E89" s="71"/>
      <c r="F89" s="71"/>
      <c r="G89" s="251"/>
      <c r="H89" s="252"/>
      <c r="I89" s="71"/>
      <c r="J89" s="251"/>
      <c r="K89" s="252"/>
      <c r="L89" s="71"/>
      <c r="M89" s="251"/>
      <c r="N89" s="252"/>
      <c r="O89" s="252"/>
      <c r="P89" s="280"/>
      <c r="Q89" s="252"/>
      <c r="R89" s="71"/>
      <c r="S89" s="288"/>
      <c r="AB89" s="71"/>
    </row>
    <row r="90" spans="1:28" hidden="1" x14ac:dyDescent="0.2">
      <c r="A90" s="71"/>
      <c r="B90" s="71"/>
      <c r="C90" s="71"/>
      <c r="D90" s="71"/>
      <c r="E90" s="71"/>
      <c r="F90" s="71"/>
      <c r="G90" s="251"/>
      <c r="H90" s="252"/>
      <c r="I90" s="71"/>
      <c r="J90" s="251"/>
      <c r="K90" s="252"/>
      <c r="L90" s="71"/>
      <c r="M90" s="251"/>
      <c r="N90" s="252"/>
      <c r="O90" s="252"/>
      <c r="P90" s="280"/>
      <c r="Q90" s="252"/>
      <c r="R90" s="71"/>
      <c r="S90" s="288"/>
      <c r="AB90" s="71"/>
    </row>
    <row r="91" spans="1:28" hidden="1" x14ac:dyDescent="0.2">
      <c r="A91" s="71"/>
      <c r="B91" s="71"/>
      <c r="C91" s="71"/>
      <c r="D91" s="71"/>
      <c r="E91" s="71"/>
      <c r="F91" s="71"/>
      <c r="G91" s="251"/>
      <c r="H91" s="252"/>
      <c r="I91" s="71"/>
      <c r="J91" s="251"/>
      <c r="K91" s="252"/>
      <c r="L91" s="71"/>
      <c r="M91" s="251"/>
      <c r="N91" s="252"/>
      <c r="O91" s="252"/>
      <c r="P91" s="280"/>
      <c r="Q91" s="252"/>
      <c r="R91" s="71"/>
      <c r="S91" s="288"/>
      <c r="AB91" s="71"/>
    </row>
    <row r="92" spans="1:28" hidden="1" x14ac:dyDescent="0.2">
      <c r="A92" s="71"/>
      <c r="B92" s="71"/>
      <c r="C92" s="71"/>
      <c r="D92" s="71"/>
      <c r="E92" s="71"/>
      <c r="F92" s="71"/>
      <c r="G92" s="251"/>
      <c r="H92" s="252"/>
      <c r="I92" s="71"/>
      <c r="J92" s="251"/>
      <c r="K92" s="252"/>
      <c r="L92" s="71"/>
      <c r="M92" s="251"/>
      <c r="N92" s="252"/>
      <c r="O92" s="252"/>
      <c r="P92" s="280"/>
      <c r="Q92" s="252"/>
      <c r="R92" s="71"/>
      <c r="S92" s="288"/>
      <c r="AB92" s="71"/>
    </row>
    <row r="93" spans="1:28" hidden="1" x14ac:dyDescent="0.2">
      <c r="A93" s="71"/>
      <c r="B93" s="71"/>
      <c r="C93" s="71"/>
      <c r="D93" s="71"/>
      <c r="E93" s="71"/>
      <c r="F93" s="71"/>
      <c r="G93" s="251"/>
      <c r="H93" s="252"/>
      <c r="I93" s="71"/>
      <c r="J93" s="251"/>
      <c r="K93" s="252"/>
      <c r="L93" s="71"/>
      <c r="M93" s="251"/>
      <c r="N93" s="252"/>
      <c r="O93" s="252"/>
      <c r="P93" s="280"/>
      <c r="Q93" s="252"/>
      <c r="R93" s="71"/>
      <c r="S93" s="288"/>
      <c r="AB93" s="71"/>
    </row>
    <row r="94" spans="1:28" hidden="1" x14ac:dyDescent="0.2">
      <c r="A94" s="71"/>
      <c r="B94" s="71"/>
      <c r="C94" s="71"/>
      <c r="D94" s="71"/>
      <c r="E94" s="71"/>
      <c r="F94" s="71"/>
      <c r="G94" s="251"/>
      <c r="H94" s="252"/>
      <c r="I94" s="71"/>
      <c r="J94" s="251"/>
      <c r="K94" s="252"/>
      <c r="L94" s="71"/>
      <c r="M94" s="251"/>
      <c r="N94" s="252"/>
      <c r="O94" s="252"/>
      <c r="P94" s="280"/>
      <c r="Q94" s="252"/>
      <c r="R94" s="71"/>
      <c r="S94" s="288"/>
      <c r="AB94" s="71"/>
    </row>
    <row r="95" spans="1:28" hidden="1" x14ac:dyDescent="0.2">
      <c r="A95" s="71"/>
      <c r="B95" s="71"/>
      <c r="C95" s="71"/>
      <c r="D95" s="71"/>
      <c r="E95" s="71"/>
      <c r="F95" s="71"/>
      <c r="G95" s="251"/>
      <c r="H95" s="252"/>
      <c r="I95" s="71"/>
      <c r="J95" s="251"/>
      <c r="K95" s="252"/>
      <c r="L95" s="71"/>
      <c r="M95" s="251"/>
      <c r="N95" s="252"/>
      <c r="O95" s="252"/>
      <c r="P95" s="280"/>
      <c r="Q95" s="252"/>
      <c r="R95" s="71"/>
      <c r="S95" s="288"/>
      <c r="AB95" s="71"/>
    </row>
    <row r="96" spans="1:28" hidden="1" x14ac:dyDescent="0.2">
      <c r="A96" s="71"/>
      <c r="B96" s="71"/>
      <c r="C96" s="71"/>
      <c r="D96" s="71"/>
      <c r="E96" s="71"/>
      <c r="F96" s="71"/>
      <c r="G96" s="251"/>
      <c r="H96" s="252"/>
      <c r="I96" s="71"/>
      <c r="J96" s="251"/>
      <c r="K96" s="252"/>
      <c r="L96" s="71"/>
      <c r="M96" s="251"/>
      <c r="N96" s="252"/>
      <c r="O96" s="252"/>
      <c r="P96" s="280"/>
      <c r="Q96" s="252"/>
      <c r="R96" s="71"/>
      <c r="S96" s="288"/>
      <c r="AB96" s="71"/>
    </row>
    <row r="97" spans="1:28" hidden="1" x14ac:dyDescent="0.2">
      <c r="A97" s="71"/>
      <c r="B97" s="71"/>
      <c r="C97" s="71"/>
      <c r="D97" s="71"/>
      <c r="E97" s="71"/>
      <c r="F97" s="71"/>
      <c r="G97" s="251"/>
      <c r="H97" s="252"/>
      <c r="I97" s="71"/>
      <c r="J97" s="251"/>
      <c r="K97" s="252"/>
      <c r="L97" s="71"/>
      <c r="M97" s="251"/>
      <c r="N97" s="252"/>
      <c r="O97" s="252"/>
      <c r="P97" s="280"/>
      <c r="Q97" s="252"/>
      <c r="R97" s="71"/>
      <c r="S97" s="288"/>
      <c r="AB97" s="71"/>
    </row>
    <row r="98" spans="1:28" hidden="1" x14ac:dyDescent="0.2">
      <c r="A98" s="71"/>
      <c r="B98" s="71"/>
      <c r="C98" s="71"/>
      <c r="D98" s="71"/>
      <c r="E98" s="71"/>
      <c r="F98" s="71"/>
      <c r="G98" s="251"/>
      <c r="H98" s="252"/>
      <c r="I98" s="71"/>
      <c r="J98" s="251"/>
      <c r="K98" s="252"/>
      <c r="L98" s="71"/>
      <c r="M98" s="251"/>
      <c r="N98" s="252"/>
      <c r="O98" s="252"/>
      <c r="P98" s="280"/>
      <c r="Q98" s="252"/>
      <c r="R98" s="71"/>
      <c r="S98" s="288"/>
      <c r="AB98" s="71"/>
    </row>
  </sheetData>
  <sheetProtection algorithmName="SHA-512" hashValue="5cJyxT69QNfRcnU+KIMSSsLLCAwyWyiboXG/A4JsBi4X0IPWYxqi9KAgZz83qaQ5Q9aC+uv8J7gY1iQ2bdFCMA==" saltValue="ZBuSz/BwTxKkidt8k5rDfg==" spinCount="100000" sheet="1" objects="1" scenarios="1"/>
  <mergeCells count="9">
    <mergeCell ref="S6:S7"/>
    <mergeCell ref="B3:C3"/>
    <mergeCell ref="L3:N3"/>
    <mergeCell ref="G3:K3"/>
    <mergeCell ref="P5:Q5"/>
    <mergeCell ref="P7:Q7"/>
    <mergeCell ref="M5:N5"/>
    <mergeCell ref="G5:H5"/>
    <mergeCell ref="J5:K5"/>
  </mergeCells>
  <phoneticPr fontId="5" type="noConversion"/>
  <conditionalFormatting sqref="Q11:Q41">
    <cfRule type="cellIs" dxfId="228" priority="6" operator="greaterThan">
      <formula>10</formula>
    </cfRule>
  </conditionalFormatting>
  <dataValidations count="4">
    <dataValidation type="whole" operator="greaterThanOrEqual" allowBlank="1" showErrorMessage="1" errorTitle="Loudspeaker Quantity" error="Quantity can not be less than zero_x000a__x000a_Quantity can only be a whole number" sqref="E11:F41" xr:uid="{00000000-0002-0000-0400-000000000000}">
      <formula1>0</formula1>
    </dataValidation>
    <dataValidation type="decimal" allowBlank="1" showInputMessage="1" showErrorMessage="1" sqref="C7" xr:uid="{00000000-0002-0000-0400-000001000000}">
      <formula1>0</formula1>
      <formula2>0.5</formula2>
    </dataValidation>
    <dataValidation type="decimal" allowBlank="1" showInputMessage="1" showErrorMessage="1" sqref="S3" xr:uid="{00000000-0002-0000-0400-000002000000}">
      <formula1>100</formula1>
      <formula2>125</formula2>
    </dataValidation>
    <dataValidation type="decimal" allowBlank="1" showInputMessage="1" showErrorMessage="1" errorTitle="Line Voltage" error="The Line Voltage for this cell should be between 100V and 135V" sqref="G3:K3" xr:uid="{00000000-0002-0000-0400-000003000000}">
      <formula1>100</formula1>
      <formula2>125</formula2>
    </dataValidation>
  </dataValidations>
  <pageMargins left="0.7" right="0.7" top="0.75" bottom="0.75" header="0.3" footer="0.3"/>
  <pageSetup paperSize="9" scale="58" orientation="portrait" r:id="rId1"/>
  <colBreaks count="1" manualBreakCount="1">
    <brk id="16383" max="1048575" man="1"/>
  </colBreaks>
  <extLst>
    <ext xmlns:x14="http://schemas.microsoft.com/office/spreadsheetml/2009/9/main" uri="{78C0D931-6437-407d-A8EE-F0AAD7539E65}">
      <x14:conditionalFormattings>
        <x14:conditionalFormatting xmlns:xm="http://schemas.microsoft.com/office/excel/2006/main">
          <x14:cfRule type="cellIs" priority="8" operator="greaterThan" id="{4D8028F0-C3FA-A547-B7B4-EFF5B048F4BA}">
            <xm:f>Data!$AC$13</xm:f>
            <x14:dxf>
              <font>
                <color theme="5" tint="0.59999389629810485"/>
              </font>
              <fill>
                <patternFill patternType="solid">
                  <fgColor indexed="64"/>
                  <bgColor rgb="FFFF0000"/>
                </patternFill>
              </fill>
            </x14:dxf>
          </x14:cfRule>
          <xm:sqref>AD15</xm:sqref>
        </x14:conditionalFormatting>
        <x14:conditionalFormatting xmlns:xm="http://schemas.microsoft.com/office/excel/2006/main">
          <x14:cfRule type="cellIs" priority="7" operator="greaterThan" id="{F9DAE24F-765F-A947-BBDA-43A4FE9AF2DA}">
            <xm:f>Data!$AC$13</xm:f>
            <x14:dxf>
              <font>
                <color theme="5" tint="0.59999389629810485"/>
              </font>
              <fill>
                <patternFill patternType="solid">
                  <fgColor indexed="64"/>
                  <bgColor rgb="FFFF0000"/>
                </patternFill>
              </fill>
            </x14:dxf>
          </x14:cfRule>
          <xm:sqref>AF15</xm:sqref>
        </x14:conditionalFormatting>
        <x14:conditionalFormatting xmlns:xm="http://schemas.microsoft.com/office/excel/2006/main">
          <x14:cfRule type="cellIs" priority="5" operator="greaterThan" id="{A3092AC8-8713-8B4E-B656-C84F10466E6D}">
            <xm:f>Data!$AC$13</xm:f>
            <x14:dxf>
              <font>
                <color theme="5" tint="0.59999389629810485"/>
              </font>
              <fill>
                <patternFill patternType="solid">
                  <fgColor indexed="64"/>
                  <bgColor rgb="FFFF0000"/>
                </patternFill>
              </fill>
            </x14:dxf>
          </x14:cfRule>
          <xm:sqref>U21</xm:sqref>
        </x14:conditionalFormatting>
        <x14:conditionalFormatting xmlns:xm="http://schemas.microsoft.com/office/excel/2006/main">
          <x14:cfRule type="cellIs" priority="1" operator="between" id="{735E172C-3CB3-D94F-9671-7120FD9EB3FE}">
            <xm:f>Data!$AG$7</xm:f>
            <xm:f>Data!$AF$7</xm:f>
            <x14:dxf>
              <font>
                <color rgb="FFFFFF00"/>
              </font>
              <fill>
                <patternFill patternType="solid">
                  <fgColor indexed="64"/>
                  <bgColor rgb="FFFB6B00"/>
                </patternFill>
              </fill>
            </x14:dxf>
          </x14:cfRule>
          <x14:cfRule type="cellIs" priority="4" operator="greaterThan" id="{5E4E1C97-18F1-8F48-9115-9D4F57AEECCB}">
            <xm:f>Data!$AF$7</xm:f>
            <x14:dxf>
              <font>
                <color theme="5" tint="0.59999389629810485"/>
              </font>
              <fill>
                <patternFill patternType="solid">
                  <fgColor indexed="64"/>
                  <bgColor rgb="FFFF0000"/>
                </patternFill>
              </fill>
            </x14:dxf>
          </x14:cfRule>
          <xm:sqref>U12</xm:sqref>
        </x14:conditionalFormatting>
        <x14:conditionalFormatting xmlns:xm="http://schemas.microsoft.com/office/excel/2006/main">
          <x14:cfRule type="cellIs" priority="3" operator="greaterThan" id="{8D67D9A6-5F21-3F40-BB2B-CFE5E0B0AF46}">
            <xm:f>Data!$AC$8</xm:f>
            <x14:dxf>
              <font>
                <color theme="5" tint="0.59999389629810485"/>
              </font>
              <fill>
                <patternFill patternType="solid">
                  <fgColor indexed="64"/>
                  <bgColor rgb="FFFF0000"/>
                </patternFill>
              </fill>
            </x14:dxf>
          </x14:cfRule>
          <xm:sqref>U14:U15</xm:sqref>
        </x14:conditionalFormatting>
        <x14:conditionalFormatting xmlns:xm="http://schemas.microsoft.com/office/excel/2006/main">
          <x14:cfRule type="cellIs" priority="2" operator="greaterThan" id="{F201AF6F-1B68-024E-A19B-B2DD03EE552E}">
            <xm:f>Data!$AC$13</xm:f>
            <x14:dxf>
              <font>
                <color theme="5" tint="0.59999389629810485"/>
              </font>
              <fill>
                <patternFill patternType="solid">
                  <fgColor indexed="64"/>
                  <bgColor rgb="FFFF0000"/>
                </patternFill>
              </fill>
            </x14:dxf>
          </x14:cfRule>
          <xm:sqref>U20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4000000}">
          <x14:formula1>
            <xm:f>Data!$G$4:$G$62</xm:f>
          </x14:formula1>
          <xm:sqref>D11:D41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tabColor theme="0" tint="-0.249977111117893"/>
  </sheetPr>
  <dimension ref="A1:AT104"/>
  <sheetViews>
    <sheetView showGridLines="0" workbookViewId="0">
      <selection activeCell="C67" sqref="C67"/>
    </sheetView>
  </sheetViews>
  <sheetFormatPr baseColWidth="10" defaultColWidth="0" defaultRowHeight="16" zeroHeight="1" x14ac:dyDescent="0.2"/>
  <cols>
    <col min="1" max="1" width="2.83203125" style="115" customWidth="1"/>
    <col min="2" max="2" width="12.83203125" style="115" customWidth="1"/>
    <col min="3" max="4" width="9.33203125" style="115" customWidth="1"/>
    <col min="5" max="5" width="7.33203125" style="115" customWidth="1"/>
    <col min="6" max="6" width="9.33203125" style="115" customWidth="1"/>
    <col min="7" max="7" width="7.33203125" style="115" customWidth="1"/>
    <col min="8" max="8" width="9.33203125" style="115" customWidth="1"/>
    <col min="9" max="9" width="7.33203125" style="115" customWidth="1"/>
    <col min="10" max="10" width="9.33203125" style="115" customWidth="1"/>
    <col min="11" max="11" width="7.33203125" style="115" customWidth="1"/>
    <col min="12" max="12" width="9.33203125" style="115" customWidth="1"/>
    <col min="13" max="13" width="7.33203125" style="115" customWidth="1"/>
    <col min="14" max="14" width="9.33203125" style="115" customWidth="1"/>
    <col min="15" max="15" width="7.33203125" style="115" customWidth="1"/>
    <col min="16" max="16" width="2.83203125" style="115" customWidth="1"/>
    <col min="17" max="46" width="10.83203125" style="114" hidden="1" customWidth="1"/>
    <col min="47" max="16384" width="10.83203125" style="115" hidden="1"/>
  </cols>
  <sheetData>
    <row r="1" spans="1:30" x14ac:dyDescent="0.2">
      <c r="A1" s="71"/>
      <c r="B1" s="71"/>
      <c r="C1" s="71"/>
      <c r="D1" s="71"/>
      <c r="E1" s="71"/>
      <c r="F1" s="71"/>
      <c r="G1" s="71"/>
      <c r="H1" s="71"/>
      <c r="I1" s="71"/>
      <c r="J1" s="71"/>
      <c r="K1" s="71"/>
      <c r="L1" s="126" t="str">
        <f>Data!$G$1</f>
        <v>© 2021</v>
      </c>
      <c r="M1" s="71"/>
      <c r="N1" s="71"/>
      <c r="O1" s="126" t="str">
        <f>Data!$M$1</f>
        <v>06.257.005.01 C</v>
      </c>
      <c r="P1" s="126"/>
    </row>
    <row r="2" spans="1:30" ht="62" x14ac:dyDescent="0.7">
      <c r="A2" s="71"/>
      <c r="B2" s="533" t="s">
        <v>159</v>
      </c>
      <c r="C2" s="533"/>
      <c r="D2" s="533"/>
      <c r="E2" s="533"/>
      <c r="F2" s="533"/>
      <c r="G2" s="533"/>
      <c r="H2" s="533"/>
      <c r="I2" s="533"/>
      <c r="J2" s="533"/>
      <c r="K2" s="533"/>
      <c r="L2" s="533"/>
      <c r="M2" s="533"/>
      <c r="N2" s="533"/>
      <c r="O2" s="533"/>
      <c r="P2" s="71"/>
    </row>
    <row r="3" spans="1:30" ht="19" customHeight="1" x14ac:dyDescent="0.7">
      <c r="A3" s="71"/>
      <c r="B3" s="325"/>
      <c r="C3" s="325"/>
      <c r="D3" s="325"/>
      <c r="E3" s="325"/>
      <c r="F3" s="325"/>
      <c r="G3" s="325"/>
      <c r="H3" s="325"/>
      <c r="I3" s="325"/>
      <c r="J3" s="325"/>
      <c r="K3" s="325"/>
      <c r="L3" s="325"/>
      <c r="M3" s="325"/>
      <c r="N3" s="325"/>
      <c r="O3" s="325"/>
      <c r="P3" s="71"/>
    </row>
    <row r="4" spans="1:30" ht="24" customHeight="1" x14ac:dyDescent="0.25">
      <c r="A4" s="71"/>
      <c r="B4" s="81" t="s">
        <v>160</v>
      </c>
      <c r="C4" s="541" t="s">
        <v>161</v>
      </c>
      <c r="D4" s="534">
        <f>N5</f>
        <v>230</v>
      </c>
      <c r="E4" s="535"/>
      <c r="F4" s="84" t="s">
        <v>104</v>
      </c>
      <c r="G4" s="534">
        <f>N5</f>
        <v>230</v>
      </c>
      <c r="H4" s="535"/>
      <c r="I4" s="84" t="s">
        <v>104</v>
      </c>
      <c r="J4" s="534">
        <f>N5</f>
        <v>230</v>
      </c>
      <c r="K4" s="535"/>
      <c r="L4" s="84" t="s">
        <v>104</v>
      </c>
      <c r="M4" s="76"/>
      <c r="N4" s="508" t="s">
        <v>103</v>
      </c>
      <c r="O4" s="509"/>
      <c r="P4" s="71"/>
    </row>
    <row r="5" spans="1:30" ht="21" customHeight="1" x14ac:dyDescent="0.25">
      <c r="A5" s="71"/>
      <c r="B5" s="82" t="s">
        <v>162</v>
      </c>
      <c r="C5" s="541"/>
      <c r="D5" s="536" t="s">
        <v>163</v>
      </c>
      <c r="E5" s="537"/>
      <c r="F5" s="538"/>
      <c r="G5" s="536" t="s">
        <v>164</v>
      </c>
      <c r="H5" s="537"/>
      <c r="I5" s="538"/>
      <c r="J5" s="536" t="s">
        <v>165</v>
      </c>
      <c r="K5" s="537"/>
      <c r="L5" s="538"/>
      <c r="M5" s="147"/>
      <c r="N5" s="544">
        <v>230</v>
      </c>
      <c r="O5" s="545"/>
      <c r="P5" s="71"/>
      <c r="S5" s="114">
        <f>Q7*(100/130)</f>
        <v>152.33999999999997</v>
      </c>
    </row>
    <row r="6" spans="1:30" ht="19" customHeight="1" x14ac:dyDescent="0.25">
      <c r="A6" s="71"/>
      <c r="B6" s="82" t="str">
        <f>_xlfn.TEXTJOIN("",FALSE,"MLTC + ",'Master EU'!D11,"%")</f>
        <v>MLTC + 30%</v>
      </c>
      <c r="C6" s="541"/>
      <c r="D6" s="539">
        <f>(Q7)</f>
        <v>198.04199999999997</v>
      </c>
      <c r="E6" s="540"/>
      <c r="F6" s="79" t="s">
        <v>116</v>
      </c>
      <c r="G6" s="539">
        <f>R7</f>
        <v>185.56199999999998</v>
      </c>
      <c r="H6" s="540"/>
      <c r="I6" s="79" t="s">
        <v>116</v>
      </c>
      <c r="J6" s="539">
        <f>S7</f>
        <v>185.56199999999998</v>
      </c>
      <c r="K6" s="540"/>
      <c r="L6" s="79" t="s">
        <v>116</v>
      </c>
      <c r="M6" s="76"/>
      <c r="N6" s="546"/>
      <c r="O6" s="547"/>
      <c r="P6" s="71"/>
      <c r="Q6" s="114" t="s">
        <v>166</v>
      </c>
      <c r="R6" s="114" t="s">
        <v>167</v>
      </c>
      <c r="S6" s="114" t="s">
        <v>168</v>
      </c>
    </row>
    <row r="7" spans="1:30" ht="19" customHeight="1" x14ac:dyDescent="0.25">
      <c r="A7" s="71"/>
      <c r="B7" s="82" t="s">
        <v>169</v>
      </c>
      <c r="C7" s="541"/>
      <c r="D7" s="539">
        <f>D6/(1+('Master EU'!D11/100))</f>
        <v>152.33999999999997</v>
      </c>
      <c r="E7" s="540"/>
      <c r="F7" s="79" t="s">
        <v>116</v>
      </c>
      <c r="G7" s="539">
        <f>G6/(1+('Master EU'!D11/100))</f>
        <v>142.73999999999998</v>
      </c>
      <c r="H7" s="540"/>
      <c r="I7" s="79" t="s">
        <v>116</v>
      </c>
      <c r="J7" s="539">
        <f>J6/(1+('Master EU'!D11/100))</f>
        <v>142.73999999999998</v>
      </c>
      <c r="K7" s="540"/>
      <c r="L7" s="79" t="s">
        <v>116</v>
      </c>
      <c r="M7" s="76"/>
      <c r="N7" s="546"/>
      <c r="O7" s="547"/>
      <c r="P7" s="71"/>
      <c r="Q7" s="114">
        <f>SUM(Q30:Q1048576)</f>
        <v>198.04199999999997</v>
      </c>
      <c r="R7" s="114">
        <f>SUM(R30:R1048576)-R64-R70-R76-R82-R88-R94</f>
        <v>185.56199999999998</v>
      </c>
      <c r="S7" s="114">
        <f>SUM(S30:S1048576)</f>
        <v>185.56199999999998</v>
      </c>
      <c r="AB7" s="114">
        <f>W9/Q7</f>
        <v>2.8529301865260903</v>
      </c>
      <c r="AC7" s="114">
        <f>X9/R7</f>
        <v>2.8572660350718357</v>
      </c>
      <c r="AD7" s="114">
        <f>Y9/S7</f>
        <v>2.8572660350718357</v>
      </c>
    </row>
    <row r="8" spans="1:30" ht="19" customHeight="1" x14ac:dyDescent="0.25">
      <c r="A8" s="71"/>
      <c r="B8" s="82" t="s">
        <v>170</v>
      </c>
      <c r="C8" s="541"/>
      <c r="D8" s="539">
        <f>T8</f>
        <v>255.70000000000002</v>
      </c>
      <c r="E8" s="540"/>
      <c r="F8" s="79" t="s">
        <v>116</v>
      </c>
      <c r="G8" s="539">
        <f>U8</f>
        <v>242.5</v>
      </c>
      <c r="H8" s="540"/>
      <c r="I8" s="79" t="s">
        <v>116</v>
      </c>
      <c r="J8" s="539">
        <f>V8</f>
        <v>242.5</v>
      </c>
      <c r="K8" s="540"/>
      <c r="L8" s="79" t="s">
        <v>116</v>
      </c>
      <c r="M8" s="76"/>
      <c r="N8" s="546"/>
      <c r="O8" s="547"/>
      <c r="P8" s="71"/>
      <c r="T8" s="114">
        <f>SUM(T30:T1048576)</f>
        <v>255.70000000000002</v>
      </c>
      <c r="U8" s="114">
        <f>SUM(U30:U1048576)</f>
        <v>242.5</v>
      </c>
      <c r="V8" s="114">
        <f>SUM(V30:V1048576)</f>
        <v>242.5</v>
      </c>
    </row>
    <row r="9" spans="1:30" ht="19" customHeight="1" x14ac:dyDescent="0.25">
      <c r="A9" s="71"/>
      <c r="B9" s="83" t="s">
        <v>171</v>
      </c>
      <c r="C9" s="541"/>
      <c r="D9" s="542">
        <f>W9</f>
        <v>564.99999999999989</v>
      </c>
      <c r="E9" s="543"/>
      <c r="F9" s="80" t="s">
        <v>117</v>
      </c>
      <c r="G9" s="542">
        <f>X9</f>
        <v>530.19999999999993</v>
      </c>
      <c r="H9" s="543"/>
      <c r="I9" s="80" t="s">
        <v>117</v>
      </c>
      <c r="J9" s="542">
        <f>Y9</f>
        <v>530.19999999999993</v>
      </c>
      <c r="K9" s="543"/>
      <c r="L9" s="80" t="s">
        <v>117</v>
      </c>
      <c r="M9" s="76"/>
      <c r="N9" s="548"/>
      <c r="O9" s="549"/>
      <c r="P9" s="71"/>
      <c r="W9" s="114">
        <f>SUM(W30:W1048576)</f>
        <v>564.99999999999989</v>
      </c>
      <c r="X9" s="114">
        <f>SUM(X30:X1048576)</f>
        <v>530.19999999999993</v>
      </c>
      <c r="Y9" s="114">
        <f>SUM(Y30:Y1048576)</f>
        <v>530.19999999999993</v>
      </c>
    </row>
    <row r="10" spans="1:30" ht="19" x14ac:dyDescent="0.25">
      <c r="A10" s="71"/>
      <c r="B10" s="76"/>
      <c r="C10" s="76"/>
      <c r="D10" s="77"/>
      <c r="E10" s="76"/>
      <c r="F10" s="77"/>
      <c r="G10" s="76"/>
      <c r="H10" s="77"/>
      <c r="I10" s="76"/>
      <c r="J10" s="77"/>
      <c r="K10" s="76"/>
      <c r="L10" s="77"/>
      <c r="M10" s="76"/>
      <c r="N10" s="77"/>
      <c r="O10" s="76"/>
      <c r="P10" s="71"/>
    </row>
    <row r="11" spans="1:30" ht="51" customHeight="1" x14ac:dyDescent="0.2">
      <c r="A11" s="71"/>
      <c r="B11" s="521" t="s">
        <v>172</v>
      </c>
      <c r="C11" s="522"/>
      <c r="D11" s="399">
        <v>30</v>
      </c>
      <c r="E11" s="147"/>
      <c r="F11" s="520" t="s">
        <v>173</v>
      </c>
      <c r="G11" s="520"/>
      <c r="H11" s="532">
        <f>(((D8)*D4)/1000)+(((G8)*G4)/1000)+(((J8)*J4)/1000)</f>
        <v>170.36100000000002</v>
      </c>
      <c r="I11" s="532"/>
      <c r="J11" s="523" t="str">
        <f>IF(AND(Z11=0,Z12=0),"Y E S !   O K !","! N O ! Verify !")</f>
        <v>Y E S !   O K !</v>
      </c>
      <c r="K11" s="524"/>
      <c r="L11" s="524"/>
      <c r="M11" s="524"/>
      <c r="N11" s="524"/>
      <c r="O11" s="525"/>
      <c r="P11" s="71"/>
      <c r="Z11" s="114">
        <f>SUM(AC32:AC67)+Z12</f>
        <v>0</v>
      </c>
      <c r="AA11" s="114" t="s">
        <v>174</v>
      </c>
    </row>
    <row r="12" spans="1:30" ht="19" x14ac:dyDescent="0.25">
      <c r="A12" s="71"/>
      <c r="B12" s="76"/>
      <c r="C12" s="76"/>
      <c r="D12" s="77"/>
      <c r="E12" s="76"/>
      <c r="F12" s="77"/>
      <c r="G12" s="76"/>
      <c r="H12" s="77"/>
      <c r="I12" s="76"/>
      <c r="J12" s="77"/>
      <c r="K12" s="76"/>
      <c r="L12" s="77"/>
      <c r="M12" s="76"/>
      <c r="N12" s="77"/>
      <c r="O12" s="128" t="str">
        <f>IF(Z12=0,"","MDM-832 Pk Voltage")</f>
        <v/>
      </c>
      <c r="P12" s="71"/>
      <c r="Z12" s="114">
        <f>SUM(AB64:AB67)</f>
        <v>0</v>
      </c>
      <c r="AA12" s="114" t="s">
        <v>175</v>
      </c>
    </row>
    <row r="13" spans="1:30" ht="19" x14ac:dyDescent="0.25">
      <c r="A13" s="71"/>
      <c r="B13" s="76"/>
      <c r="C13" s="76"/>
      <c r="D13" s="77"/>
      <c r="E13" s="76"/>
      <c r="F13" s="77"/>
      <c r="G13" s="76"/>
      <c r="H13" s="77"/>
      <c r="I13" s="76"/>
      <c r="J13" s="77"/>
      <c r="K13" s="76"/>
      <c r="L13" s="77"/>
      <c r="M13" s="76"/>
      <c r="N13" s="77"/>
      <c r="O13" s="76"/>
      <c r="P13" s="71"/>
    </row>
    <row r="14" spans="1:30" ht="18" customHeight="1" x14ac:dyDescent="0.2">
      <c r="A14" s="71"/>
      <c r="B14" s="526" t="s">
        <v>109</v>
      </c>
      <c r="C14" s="527"/>
      <c r="D14" s="527"/>
      <c r="E14" s="527"/>
      <c r="F14" s="526" t="s">
        <v>176</v>
      </c>
      <c r="G14" s="527"/>
      <c r="H14" s="527"/>
      <c r="I14" s="527"/>
      <c r="J14" s="528"/>
      <c r="K14" s="526" t="s">
        <v>177</v>
      </c>
      <c r="L14" s="527"/>
      <c r="M14" s="527"/>
      <c r="N14" s="527"/>
      <c r="O14" s="528"/>
      <c r="P14" s="71"/>
    </row>
    <row r="15" spans="1:30" ht="18" customHeight="1" x14ac:dyDescent="0.2">
      <c r="A15" s="71"/>
      <c r="B15" s="529"/>
      <c r="C15" s="530"/>
      <c r="D15" s="530"/>
      <c r="E15" s="530"/>
      <c r="F15" s="529"/>
      <c r="G15" s="530"/>
      <c r="H15" s="530"/>
      <c r="I15" s="530"/>
      <c r="J15" s="531"/>
      <c r="K15" s="529"/>
      <c r="L15" s="530"/>
      <c r="M15" s="530"/>
      <c r="N15" s="530"/>
      <c r="O15" s="531"/>
      <c r="P15" s="71"/>
    </row>
    <row r="16" spans="1:30" ht="19" x14ac:dyDescent="0.25">
      <c r="A16" s="71"/>
      <c r="B16" s="85"/>
      <c r="C16" s="76"/>
      <c r="D16" s="77"/>
      <c r="E16" s="76"/>
      <c r="F16" s="117"/>
      <c r="G16" s="76"/>
      <c r="H16" s="77"/>
      <c r="I16" s="76"/>
      <c r="J16" s="118"/>
      <c r="K16" s="85"/>
      <c r="L16" s="77"/>
      <c r="M16" s="76"/>
      <c r="N16" s="77"/>
      <c r="O16" s="79"/>
      <c r="P16" s="71"/>
    </row>
    <row r="17" spans="1:31" ht="19" x14ac:dyDescent="0.25">
      <c r="A17" s="71"/>
      <c r="B17" s="85"/>
      <c r="C17" s="76"/>
      <c r="D17" s="77"/>
      <c r="E17" s="76"/>
      <c r="F17" s="117"/>
      <c r="G17" s="76"/>
      <c r="H17" s="77"/>
      <c r="I17" s="76"/>
      <c r="J17" s="118"/>
      <c r="K17" s="85"/>
      <c r="L17" s="77"/>
      <c r="M17" s="76"/>
      <c r="N17" s="77"/>
      <c r="O17" s="79"/>
      <c r="P17" s="71"/>
    </row>
    <row r="18" spans="1:31" ht="19" x14ac:dyDescent="0.25">
      <c r="A18" s="71"/>
      <c r="B18" s="85"/>
      <c r="C18" s="76"/>
      <c r="D18" s="77"/>
      <c r="E18" s="76"/>
      <c r="F18" s="117"/>
      <c r="G18" s="76"/>
      <c r="H18" s="77"/>
      <c r="I18" s="76"/>
      <c r="J18" s="118"/>
      <c r="K18" s="85"/>
      <c r="L18" s="77"/>
      <c r="M18" s="76"/>
      <c r="N18" s="77"/>
      <c r="O18" s="79"/>
      <c r="P18" s="71"/>
    </row>
    <row r="19" spans="1:31" ht="19" x14ac:dyDescent="0.25">
      <c r="A19" s="71"/>
      <c r="B19" s="85"/>
      <c r="C19" s="76"/>
      <c r="D19" s="77"/>
      <c r="E19" s="76"/>
      <c r="F19" s="117"/>
      <c r="G19" s="76"/>
      <c r="H19" s="77"/>
      <c r="I19" s="76"/>
      <c r="J19" s="118"/>
      <c r="K19" s="85"/>
      <c r="L19" s="77"/>
      <c r="M19" s="76"/>
      <c r="N19" s="77"/>
      <c r="O19" s="79"/>
      <c r="P19" s="71"/>
    </row>
    <row r="20" spans="1:31" ht="19" x14ac:dyDescent="0.25">
      <c r="A20" s="71"/>
      <c r="B20" s="85"/>
      <c r="C20" s="76"/>
      <c r="D20" s="77"/>
      <c r="E20" s="76"/>
      <c r="F20" s="117"/>
      <c r="G20" s="76"/>
      <c r="H20" s="77"/>
      <c r="I20" s="76"/>
      <c r="J20" s="118"/>
      <c r="K20" s="85"/>
      <c r="L20" s="77"/>
      <c r="M20" s="76"/>
      <c r="N20" s="77"/>
      <c r="O20" s="79"/>
      <c r="P20" s="71"/>
    </row>
    <row r="21" spans="1:31" ht="19" x14ac:dyDescent="0.25">
      <c r="A21" s="71"/>
      <c r="B21" s="85"/>
      <c r="C21" s="76"/>
      <c r="D21" s="77"/>
      <c r="E21" s="76"/>
      <c r="F21" s="117"/>
      <c r="G21" s="76"/>
      <c r="H21" s="77"/>
      <c r="I21" s="76"/>
      <c r="J21" s="118"/>
      <c r="K21" s="85"/>
      <c r="L21" s="77"/>
      <c r="M21" s="76"/>
      <c r="N21" s="77"/>
      <c r="O21" s="79"/>
      <c r="P21" s="71"/>
    </row>
    <row r="22" spans="1:31" ht="19" x14ac:dyDescent="0.25">
      <c r="A22" s="71"/>
      <c r="B22" s="85"/>
      <c r="C22" s="76"/>
      <c r="D22" s="77"/>
      <c r="E22" s="76"/>
      <c r="F22" s="117"/>
      <c r="G22" s="76"/>
      <c r="H22" s="77"/>
      <c r="I22" s="76"/>
      <c r="J22" s="118"/>
      <c r="K22" s="85"/>
      <c r="L22" s="77"/>
      <c r="M22" s="76"/>
      <c r="N22" s="77"/>
      <c r="O22" s="79"/>
      <c r="P22" s="71"/>
    </row>
    <row r="23" spans="1:31" ht="19" x14ac:dyDescent="0.25">
      <c r="A23" s="71"/>
      <c r="B23" s="85"/>
      <c r="C23" s="76"/>
      <c r="D23" s="77"/>
      <c r="E23" s="76"/>
      <c r="F23" s="117"/>
      <c r="G23" s="76"/>
      <c r="H23" s="77"/>
      <c r="I23" s="76"/>
      <c r="J23" s="118"/>
      <c r="K23" s="85"/>
      <c r="L23" s="77"/>
      <c r="M23" s="76"/>
      <c r="N23" s="77"/>
      <c r="O23" s="79"/>
      <c r="P23" s="71"/>
    </row>
    <row r="24" spans="1:31" ht="19" x14ac:dyDescent="0.25">
      <c r="A24" s="71"/>
      <c r="B24" s="85"/>
      <c r="C24" s="76"/>
      <c r="D24" s="77"/>
      <c r="E24" s="76"/>
      <c r="F24" s="117"/>
      <c r="G24" s="76"/>
      <c r="H24" s="77"/>
      <c r="I24" s="76"/>
      <c r="J24" s="118"/>
      <c r="K24" s="85"/>
      <c r="L24" s="77"/>
      <c r="M24" s="76"/>
      <c r="N24" s="77"/>
      <c r="O24" s="79"/>
      <c r="P24" s="71"/>
    </row>
    <row r="25" spans="1:31" ht="19" x14ac:dyDescent="0.25">
      <c r="A25" s="71"/>
      <c r="B25" s="85"/>
      <c r="C25" s="76"/>
      <c r="D25" s="77"/>
      <c r="E25" s="76"/>
      <c r="F25" s="117"/>
      <c r="G25" s="76"/>
      <c r="H25" s="77"/>
      <c r="I25" s="76"/>
      <c r="J25" s="118"/>
      <c r="K25" s="85"/>
      <c r="L25" s="77"/>
      <c r="M25" s="76"/>
      <c r="N25" s="77"/>
      <c r="O25" s="79"/>
      <c r="P25" s="71"/>
    </row>
    <row r="26" spans="1:31" ht="19" x14ac:dyDescent="0.25">
      <c r="A26" s="71"/>
      <c r="B26" s="85"/>
      <c r="C26" s="76"/>
      <c r="D26" s="77"/>
      <c r="E26" s="76"/>
      <c r="F26" s="117"/>
      <c r="G26" s="76"/>
      <c r="H26" s="77"/>
      <c r="I26" s="76"/>
      <c r="J26" s="118"/>
      <c r="K26" s="85"/>
      <c r="L26" s="77"/>
      <c r="M26" s="76"/>
      <c r="N26" s="77"/>
      <c r="O26" s="79"/>
      <c r="P26" s="71"/>
      <c r="AE26" s="114" t="s">
        <v>127</v>
      </c>
    </row>
    <row r="27" spans="1:31" ht="19" x14ac:dyDescent="0.25">
      <c r="A27" s="71"/>
      <c r="B27" s="85"/>
      <c r="C27" s="76"/>
      <c r="D27" s="77"/>
      <c r="E27" s="76"/>
      <c r="F27" s="117"/>
      <c r="G27" s="76"/>
      <c r="H27" s="77"/>
      <c r="I27" s="76"/>
      <c r="J27" s="118"/>
      <c r="K27" s="85"/>
      <c r="L27" s="77"/>
      <c r="M27" s="76"/>
      <c r="N27" s="77"/>
      <c r="O27" s="79"/>
      <c r="P27" s="71"/>
      <c r="AE27" s="114" t="s">
        <v>166</v>
      </c>
    </row>
    <row r="28" spans="1:31" ht="19" x14ac:dyDescent="0.25">
      <c r="A28" s="71"/>
      <c r="B28" s="85"/>
      <c r="C28" s="76"/>
      <c r="D28" s="76"/>
      <c r="E28" s="76"/>
      <c r="F28" s="85"/>
      <c r="G28" s="76"/>
      <c r="H28" s="76"/>
      <c r="I28" s="76"/>
      <c r="J28" s="79"/>
      <c r="K28" s="85"/>
      <c r="L28" s="76"/>
      <c r="M28" s="76"/>
      <c r="N28" s="76"/>
      <c r="O28" s="79"/>
      <c r="P28" s="71"/>
      <c r="Z28" s="114" t="s">
        <v>160</v>
      </c>
      <c r="AA28" s="114" t="s">
        <v>162</v>
      </c>
      <c r="AE28" s="114" t="s">
        <v>167</v>
      </c>
    </row>
    <row r="29" spans="1:31" ht="19" x14ac:dyDescent="0.25">
      <c r="A29" s="71"/>
      <c r="B29" s="86"/>
      <c r="C29" s="78"/>
      <c r="D29" s="78"/>
      <c r="E29" s="78"/>
      <c r="F29" s="86"/>
      <c r="G29" s="78"/>
      <c r="H29" s="78"/>
      <c r="I29" s="78"/>
      <c r="J29" s="80"/>
      <c r="K29" s="86"/>
      <c r="L29" s="78"/>
      <c r="M29" s="78"/>
      <c r="N29" s="78"/>
      <c r="O29" s="80"/>
      <c r="P29" s="71"/>
      <c r="AE29" s="114" t="s">
        <v>168</v>
      </c>
    </row>
    <row r="30" spans="1:31" ht="19" x14ac:dyDescent="0.25">
      <c r="A30" s="71"/>
      <c r="B30" s="76" t="str">
        <f>Data!$T$1</f>
        <v>Meyer Sound Laboratories, Inc. Berkeley, California, USA                                 www.meyersound.com</v>
      </c>
      <c r="C30" s="76"/>
      <c r="D30" s="76"/>
      <c r="E30" s="76"/>
      <c r="F30" s="76"/>
      <c r="G30" s="76"/>
      <c r="H30" s="76"/>
      <c r="I30" s="76"/>
      <c r="J30" s="76"/>
      <c r="K30" s="76"/>
      <c r="L30" s="76"/>
      <c r="M30" s="76"/>
      <c r="N30" s="76"/>
      <c r="O30" s="169" t="str">
        <f>Data!$M$1</f>
        <v>06.257.005.01 C</v>
      </c>
      <c r="P30" s="126"/>
    </row>
    <row r="31" spans="1:31" ht="19" x14ac:dyDescent="0.25">
      <c r="A31" s="71"/>
      <c r="B31" s="76"/>
      <c r="C31" s="76"/>
      <c r="D31" s="76"/>
      <c r="E31" s="76"/>
      <c r="F31" s="76"/>
      <c r="G31" s="76"/>
      <c r="H31" s="76"/>
      <c r="I31" s="76"/>
      <c r="J31" s="76"/>
      <c r="K31" s="76"/>
      <c r="L31" s="76"/>
      <c r="M31" s="76"/>
      <c r="N31" s="76"/>
      <c r="O31" s="76"/>
      <c r="P31" s="71"/>
    </row>
    <row r="32" spans="1:31" s="114" customFormat="1" ht="19" x14ac:dyDescent="0.25">
      <c r="A32" s="71"/>
      <c r="B32" s="81" t="s">
        <v>162</v>
      </c>
      <c r="C32" s="519">
        <v>1</v>
      </c>
      <c r="D32" s="510" t="s">
        <v>166</v>
      </c>
      <c r="E32" s="511"/>
      <c r="F32" s="510" t="s">
        <v>167</v>
      </c>
      <c r="G32" s="511"/>
      <c r="H32" s="510" t="s">
        <v>168</v>
      </c>
      <c r="I32" s="511"/>
      <c r="J32" s="504" t="s">
        <v>120</v>
      </c>
      <c r="K32" s="505"/>
      <c r="L32" s="127"/>
      <c r="M32" s="128"/>
      <c r="N32" s="513" t="str">
        <f>IF(Z32+AA32=0,"O K","N O !")</f>
        <v>O K</v>
      </c>
      <c r="O32" s="514"/>
      <c r="P32" s="71"/>
      <c r="Z32" s="114">
        <f>'EU MDM-5000'!S10</f>
        <v>0</v>
      </c>
      <c r="AA32" s="114">
        <f>'EU MDM-5000'!S5</f>
        <v>0</v>
      </c>
      <c r="AC32" s="114">
        <f>IF(J34=0,0,Z32)</f>
        <v>0</v>
      </c>
    </row>
    <row r="33" spans="1:29" s="114" customFormat="1" ht="19" x14ac:dyDescent="0.25">
      <c r="A33" s="71"/>
      <c r="B33" s="82" t="str">
        <f>_xlfn.TEXTJOIN("",FALSE,"MLTC + ",'Master EU'!D11,"%")</f>
        <v>MLTC + 30%</v>
      </c>
      <c r="C33" s="519"/>
      <c r="D33" s="135">
        <f>'EU MDM-5000'!D4</f>
        <v>31.121999999999996</v>
      </c>
      <c r="E33" s="118" t="str">
        <f>'EU MDM-5000'!E41</f>
        <v>A RMS</v>
      </c>
      <c r="F33" s="135">
        <f>'EU MDM-5000'!F4</f>
        <v>31.121999999999996</v>
      </c>
      <c r="G33" s="118" t="str">
        <f>'EU MDM-5000'!G41</f>
        <v>A RMS</v>
      </c>
      <c r="H33" s="135">
        <f>'EU MDM-5000'!H4</f>
        <v>31.121999999999996</v>
      </c>
      <c r="I33" s="118" t="str">
        <f>'EU MDM-5000'!I41</f>
        <v>A RMS</v>
      </c>
      <c r="J33" s="504"/>
      <c r="K33" s="505"/>
      <c r="L33" s="127"/>
      <c r="M33" s="129" t="str">
        <f>IF(AA32&gt;0,"Inlet Current","")</f>
        <v/>
      </c>
      <c r="N33" s="515"/>
      <c r="O33" s="516"/>
      <c r="P33" s="71"/>
      <c r="Q33" s="116">
        <f>D33*$J$34</f>
        <v>31.121999999999996</v>
      </c>
      <c r="R33" s="116">
        <f>F33*$J$34</f>
        <v>31.121999999999996</v>
      </c>
      <c r="S33" s="116">
        <f>H33*$J$34</f>
        <v>31.121999999999996</v>
      </c>
    </row>
    <row r="34" spans="1:29" s="114" customFormat="1" ht="19" x14ac:dyDescent="0.25">
      <c r="A34" s="71"/>
      <c r="B34" s="82" t="s">
        <v>110</v>
      </c>
      <c r="C34" s="519"/>
      <c r="D34" s="135">
        <f>'EU MDM-5000'!D5</f>
        <v>37.299999999999997</v>
      </c>
      <c r="E34" s="118" t="str">
        <f>'EU MDM-5000'!E42</f>
        <v>A RMS</v>
      </c>
      <c r="F34" s="135">
        <f>'EU MDM-5000'!F5</f>
        <v>37.299999999999997</v>
      </c>
      <c r="G34" s="118" t="str">
        <f>'EU MDM-5000'!G42</f>
        <v>A RMS</v>
      </c>
      <c r="H34" s="135">
        <f>'EU MDM-5000'!H5</f>
        <v>37.299999999999997</v>
      </c>
      <c r="I34" s="118" t="str">
        <f>'EU MDM-5000'!I42</f>
        <v>A RMS</v>
      </c>
      <c r="J34" s="506">
        <v>1</v>
      </c>
      <c r="K34" s="507"/>
      <c r="L34" s="127"/>
      <c r="M34" s="129" t="str">
        <f>IF(Z32+AA32=0,"",IF(AND(Z32=1,AA32=1),"","Outlet Current"))</f>
        <v/>
      </c>
      <c r="N34" s="515"/>
      <c r="O34" s="516"/>
      <c r="P34" s="71"/>
      <c r="T34" s="116">
        <f>D34*$J$34</f>
        <v>37.299999999999997</v>
      </c>
      <c r="U34" s="116">
        <f>F34*$J$34</f>
        <v>37.299999999999997</v>
      </c>
      <c r="V34" s="116">
        <f>H34*$J$34</f>
        <v>37.299999999999997</v>
      </c>
    </row>
    <row r="35" spans="1:29" s="114" customFormat="1" ht="19" x14ac:dyDescent="0.25">
      <c r="A35" s="71"/>
      <c r="B35" s="83" t="s">
        <v>111</v>
      </c>
      <c r="C35" s="519"/>
      <c r="D35" s="136">
        <f>'EU MDM-5000'!D6</f>
        <v>75</v>
      </c>
      <c r="E35" s="119" t="str">
        <f>'EU MDM-5000'!E43</f>
        <v>A Pk</v>
      </c>
      <c r="F35" s="136">
        <f>'EU MDM-5000'!F6</f>
        <v>75</v>
      </c>
      <c r="G35" s="119" t="str">
        <f>'EU MDM-5000'!G43</f>
        <v>A Pk</v>
      </c>
      <c r="H35" s="136">
        <f>'EU MDM-5000'!H6</f>
        <v>75</v>
      </c>
      <c r="I35" s="119" t="str">
        <f>'EU MDM-5000'!I43</f>
        <v>A Pk</v>
      </c>
      <c r="J35" s="506"/>
      <c r="K35" s="507"/>
      <c r="L35" s="127"/>
      <c r="M35" s="130"/>
      <c r="N35" s="517"/>
      <c r="O35" s="518"/>
      <c r="P35" s="71"/>
      <c r="W35" s="116">
        <f>D35*$J$34</f>
        <v>75</v>
      </c>
      <c r="X35" s="116">
        <f>F35*$J$34</f>
        <v>75</v>
      </c>
      <c r="Y35" s="116">
        <f>H35*$J$34</f>
        <v>75</v>
      </c>
    </row>
    <row r="36" spans="1:29" s="114" customFormat="1" x14ac:dyDescent="0.2">
      <c r="A36" s="71"/>
      <c r="B36" s="71"/>
      <c r="C36" s="71"/>
      <c r="D36" s="71"/>
      <c r="E36" s="71"/>
      <c r="F36" s="71"/>
      <c r="G36" s="71"/>
      <c r="H36" s="71"/>
      <c r="I36" s="71"/>
      <c r="J36" s="71"/>
      <c r="K36" s="126"/>
      <c r="L36" s="127"/>
      <c r="M36" s="131"/>
      <c r="N36" s="71"/>
      <c r="O36" s="71"/>
      <c r="P36" s="71"/>
    </row>
    <row r="37" spans="1:29" s="114" customFormat="1" ht="18" customHeight="1" x14ac:dyDescent="0.25">
      <c r="A37" s="71"/>
      <c r="B37" s="81" t="s">
        <v>162</v>
      </c>
      <c r="C37" s="519">
        <v>2</v>
      </c>
      <c r="D37" s="510" t="s">
        <v>166</v>
      </c>
      <c r="E37" s="511"/>
      <c r="F37" s="510" t="s">
        <v>167</v>
      </c>
      <c r="G37" s="511"/>
      <c r="H37" s="510" t="s">
        <v>168</v>
      </c>
      <c r="I37" s="511"/>
      <c r="J37" s="504" t="s">
        <v>120</v>
      </c>
      <c r="K37" s="505"/>
      <c r="L37" s="127"/>
      <c r="M37" s="128"/>
      <c r="N37" s="513" t="str">
        <f>IF(Z37+AA37=0,"O K","N O !")</f>
        <v>O K</v>
      </c>
      <c r="O37" s="514"/>
      <c r="P37" s="71"/>
      <c r="Z37" s="114">
        <f>'EU MDM-5000'!S47</f>
        <v>0</v>
      </c>
      <c r="AA37" s="114">
        <f>'EU MDM-5000'!S42</f>
        <v>0</v>
      </c>
      <c r="AC37" s="114">
        <f>IF(J39=0,0,Z37)</f>
        <v>0</v>
      </c>
    </row>
    <row r="38" spans="1:29" s="114" customFormat="1" ht="18" customHeight="1" x14ac:dyDescent="0.25">
      <c r="A38" s="71"/>
      <c r="B38" s="82" t="str">
        <f>_xlfn.TEXTJOIN("",FALSE,"MLTC + ",'Master EU'!D11,"%")</f>
        <v>MLTC + 30%</v>
      </c>
      <c r="C38" s="519"/>
      <c r="D38" s="135">
        <f>'EU MDM-5000'!D41</f>
        <v>28.6</v>
      </c>
      <c r="E38" s="79" t="str">
        <f>'EU MDM-5000'!E41</f>
        <v>A RMS</v>
      </c>
      <c r="F38" s="135">
        <f>'EU MDM-5000'!F41</f>
        <v>28.6</v>
      </c>
      <c r="G38" s="79" t="str">
        <f>'EU MDM-5000'!G41</f>
        <v>A RMS</v>
      </c>
      <c r="H38" s="135">
        <f>'EU MDM-5000'!H41</f>
        <v>28.6</v>
      </c>
      <c r="I38" s="79" t="str">
        <f>'EU MDM-5000'!I41</f>
        <v>A RMS</v>
      </c>
      <c r="J38" s="504"/>
      <c r="K38" s="505"/>
      <c r="L38" s="127"/>
      <c r="M38" s="129" t="str">
        <f>IF(AA37&gt;0,"Inlet Current","")</f>
        <v/>
      </c>
      <c r="N38" s="515"/>
      <c r="O38" s="516"/>
      <c r="P38" s="71"/>
      <c r="Q38" s="116">
        <f>D38*$J$39</f>
        <v>28.6</v>
      </c>
      <c r="R38" s="116">
        <f>F38*$J$39</f>
        <v>28.6</v>
      </c>
      <c r="S38" s="116">
        <f>H38*$J$39</f>
        <v>28.6</v>
      </c>
    </row>
    <row r="39" spans="1:29" s="114" customFormat="1" ht="18" customHeight="1" x14ac:dyDescent="0.25">
      <c r="A39" s="71"/>
      <c r="B39" s="82" t="s">
        <v>110</v>
      </c>
      <c r="C39" s="519"/>
      <c r="D39" s="135">
        <f>'EU MDM-5000'!D42</f>
        <v>37.200000000000003</v>
      </c>
      <c r="E39" s="79" t="str">
        <f>'EU MDM-5000'!E42</f>
        <v>A RMS</v>
      </c>
      <c r="F39" s="135">
        <f>'EU MDM-5000'!F42</f>
        <v>37.200000000000003</v>
      </c>
      <c r="G39" s="79" t="str">
        <f>'EU MDM-5000'!G42</f>
        <v>A RMS</v>
      </c>
      <c r="H39" s="135">
        <f>'EU MDM-5000'!H42</f>
        <v>37.200000000000003</v>
      </c>
      <c r="I39" s="79" t="str">
        <f>'EU MDM-5000'!I42</f>
        <v>A RMS</v>
      </c>
      <c r="J39" s="506">
        <v>1</v>
      </c>
      <c r="K39" s="507"/>
      <c r="L39" s="127"/>
      <c r="M39" s="129" t="str">
        <f>IF(Z37+AA37=0,"",IF(AND(Z37=1,AA37=1),"","Outlet Current"))</f>
        <v/>
      </c>
      <c r="N39" s="515"/>
      <c r="O39" s="516"/>
      <c r="P39" s="71"/>
      <c r="T39" s="116">
        <f>D39*$J$39</f>
        <v>37.200000000000003</v>
      </c>
      <c r="U39" s="116">
        <f>F39*$J$39</f>
        <v>37.200000000000003</v>
      </c>
      <c r="V39" s="116">
        <f>H39*$J$39</f>
        <v>37.200000000000003</v>
      </c>
    </row>
    <row r="40" spans="1:29" s="114" customFormat="1" ht="18" customHeight="1" x14ac:dyDescent="0.25">
      <c r="A40" s="71"/>
      <c r="B40" s="83" t="s">
        <v>111</v>
      </c>
      <c r="C40" s="519"/>
      <c r="D40" s="136">
        <f>'EU MDM-5000'!D43</f>
        <v>87.199999999999989</v>
      </c>
      <c r="E40" s="80" t="str">
        <f>'EU MDM-5000'!E43</f>
        <v>A Pk</v>
      </c>
      <c r="F40" s="136">
        <f>'EU MDM-5000'!F43</f>
        <v>87.199999999999989</v>
      </c>
      <c r="G40" s="80" t="str">
        <f>'EU MDM-5000'!G43</f>
        <v>A Pk</v>
      </c>
      <c r="H40" s="136">
        <f>'EU MDM-5000'!H43</f>
        <v>87.199999999999989</v>
      </c>
      <c r="I40" s="80" t="str">
        <f>'EU MDM-5000'!I43</f>
        <v>A Pk</v>
      </c>
      <c r="J40" s="506"/>
      <c r="K40" s="507"/>
      <c r="L40" s="127"/>
      <c r="M40" s="128"/>
      <c r="N40" s="517"/>
      <c r="O40" s="518"/>
      <c r="P40" s="71"/>
      <c r="W40" s="116">
        <f>D40*$J$39</f>
        <v>87.199999999999989</v>
      </c>
      <c r="X40" s="116">
        <f>F40*$J$39</f>
        <v>87.199999999999989</v>
      </c>
      <c r="Y40" s="116">
        <f>H40*$J$39</f>
        <v>87.199999999999989</v>
      </c>
    </row>
    <row r="41" spans="1:29" s="114" customFormat="1" x14ac:dyDescent="0.2">
      <c r="A41" s="71"/>
      <c r="B41" s="71"/>
      <c r="C41" s="71"/>
      <c r="D41" s="71"/>
      <c r="E41" s="71"/>
      <c r="F41" s="71"/>
      <c r="G41" s="71"/>
      <c r="H41" s="71"/>
      <c r="I41" s="71"/>
      <c r="J41" s="71"/>
      <c r="K41" s="126"/>
      <c r="L41" s="127"/>
      <c r="M41" s="131"/>
      <c r="N41" s="71"/>
      <c r="O41" s="71"/>
      <c r="P41" s="71"/>
    </row>
    <row r="42" spans="1:29" s="114" customFormat="1" ht="18" customHeight="1" x14ac:dyDescent="0.25">
      <c r="A42" s="71"/>
      <c r="B42" s="81" t="s">
        <v>162</v>
      </c>
      <c r="C42" s="519">
        <v>3</v>
      </c>
      <c r="D42" s="510" t="s">
        <v>166</v>
      </c>
      <c r="E42" s="511"/>
      <c r="F42" s="510" t="s">
        <v>167</v>
      </c>
      <c r="G42" s="511"/>
      <c r="H42" s="510" t="s">
        <v>168</v>
      </c>
      <c r="I42" s="511"/>
      <c r="J42" s="504" t="s">
        <v>120</v>
      </c>
      <c r="K42" s="505"/>
      <c r="L42" s="127"/>
      <c r="M42" s="128"/>
      <c r="N42" s="513" t="str">
        <f>IF(Z42+AA42=0,"O K","N O !")</f>
        <v>O K</v>
      </c>
      <c r="O42" s="514"/>
      <c r="P42" s="71"/>
      <c r="Z42" s="114">
        <f>'EU MDM-5000'!S84</f>
        <v>0</v>
      </c>
      <c r="AA42" s="114">
        <f>'EU MDM-5000'!S79</f>
        <v>0</v>
      </c>
      <c r="AC42" s="114">
        <f>IF(J44=0,0,Z42)</f>
        <v>0</v>
      </c>
    </row>
    <row r="43" spans="1:29" s="114" customFormat="1" ht="18" customHeight="1" x14ac:dyDescent="0.25">
      <c r="A43" s="71"/>
      <c r="B43" s="82" t="str">
        <f>_xlfn.TEXTJOIN("",FALSE,"MLTC + ",'Master EU'!D11,"%")</f>
        <v>MLTC + 30%</v>
      </c>
      <c r="C43" s="519"/>
      <c r="D43" s="135">
        <f>'EU MDM-5000'!D78</f>
        <v>28.6</v>
      </c>
      <c r="E43" s="118" t="str">
        <f>'EU MDM-5000'!E78</f>
        <v>A RMS</v>
      </c>
      <c r="F43" s="135">
        <f>'EU MDM-5000'!F78</f>
        <v>28.6</v>
      </c>
      <c r="G43" s="118" t="str">
        <f>'EU MDM-5000'!G78</f>
        <v>A RMS</v>
      </c>
      <c r="H43" s="135">
        <f>'EU MDM-5000'!H78</f>
        <v>28.6</v>
      </c>
      <c r="I43" s="118" t="str">
        <f>'EU MDM-5000'!I78</f>
        <v>A RMS</v>
      </c>
      <c r="J43" s="504"/>
      <c r="K43" s="505"/>
      <c r="L43" s="127"/>
      <c r="M43" s="129" t="str">
        <f>IF(AA42&gt;0,"Inlet Current","")</f>
        <v/>
      </c>
      <c r="N43" s="515"/>
      <c r="O43" s="516"/>
      <c r="P43" s="71"/>
      <c r="Q43" s="116">
        <f>D43*$J$44</f>
        <v>28.6</v>
      </c>
      <c r="R43" s="116">
        <f>F43*$J$44</f>
        <v>28.6</v>
      </c>
      <c r="S43" s="116">
        <f>H43*$J$44</f>
        <v>28.6</v>
      </c>
    </row>
    <row r="44" spans="1:29" s="114" customFormat="1" ht="18" customHeight="1" x14ac:dyDescent="0.25">
      <c r="A44" s="71"/>
      <c r="B44" s="82" t="s">
        <v>110</v>
      </c>
      <c r="C44" s="519"/>
      <c r="D44" s="135">
        <f>'EU MDM-5000'!D79</f>
        <v>37.200000000000003</v>
      </c>
      <c r="E44" s="118" t="str">
        <f>'EU MDM-5000'!E79</f>
        <v>A RMS</v>
      </c>
      <c r="F44" s="135">
        <f>'EU MDM-5000'!F79</f>
        <v>37.200000000000003</v>
      </c>
      <c r="G44" s="118" t="str">
        <f>'EU MDM-5000'!G79</f>
        <v>A RMS</v>
      </c>
      <c r="H44" s="135">
        <f>'EU MDM-5000'!H79</f>
        <v>37.200000000000003</v>
      </c>
      <c r="I44" s="118" t="str">
        <f>'EU MDM-5000'!I79</f>
        <v>A RMS</v>
      </c>
      <c r="J44" s="506">
        <v>1</v>
      </c>
      <c r="K44" s="507"/>
      <c r="L44" s="127"/>
      <c r="M44" s="129" t="str">
        <f>IF(Z42+AA42=0,"",IF(AND(Z42=1,AA42=1),"","Outlet Current"))</f>
        <v/>
      </c>
      <c r="N44" s="515"/>
      <c r="O44" s="516"/>
      <c r="P44" s="71"/>
      <c r="T44" s="116">
        <f>D44*$J$44</f>
        <v>37.200000000000003</v>
      </c>
      <c r="U44" s="116">
        <f>F44*$J$44</f>
        <v>37.200000000000003</v>
      </c>
      <c r="V44" s="116">
        <f>H44*$J$44</f>
        <v>37.200000000000003</v>
      </c>
    </row>
    <row r="45" spans="1:29" s="114" customFormat="1" ht="18" customHeight="1" x14ac:dyDescent="0.25">
      <c r="A45" s="71"/>
      <c r="B45" s="83" t="s">
        <v>111</v>
      </c>
      <c r="C45" s="519"/>
      <c r="D45" s="136">
        <f>'EU MDM-5000'!D80</f>
        <v>87.199999999999989</v>
      </c>
      <c r="E45" s="119" t="str">
        <f>'EU MDM-5000'!E80</f>
        <v>A Pk</v>
      </c>
      <c r="F45" s="136">
        <f>'EU MDM-5000'!F80</f>
        <v>87.199999999999989</v>
      </c>
      <c r="G45" s="119" t="str">
        <f>'EU MDM-5000'!G80</f>
        <v>A Pk</v>
      </c>
      <c r="H45" s="136">
        <f>'EU MDM-5000'!H80</f>
        <v>87.199999999999989</v>
      </c>
      <c r="I45" s="119" t="str">
        <f>'EU MDM-5000'!I80</f>
        <v>A Pk</v>
      </c>
      <c r="J45" s="506"/>
      <c r="K45" s="507"/>
      <c r="L45" s="127"/>
      <c r="M45" s="130"/>
      <c r="N45" s="517"/>
      <c r="O45" s="518"/>
      <c r="P45" s="71"/>
      <c r="W45" s="116">
        <f>D45*$J$44</f>
        <v>87.199999999999989</v>
      </c>
      <c r="X45" s="116">
        <f>F45*$J$44</f>
        <v>87.199999999999989</v>
      </c>
      <c r="Y45" s="116">
        <f>H45*$J$44</f>
        <v>87.199999999999989</v>
      </c>
    </row>
    <row r="46" spans="1:29" s="114" customFormat="1" x14ac:dyDescent="0.2">
      <c r="A46" s="71"/>
      <c r="B46" s="71"/>
      <c r="C46" s="71"/>
      <c r="D46" s="71"/>
      <c r="E46" s="71"/>
      <c r="F46" s="71"/>
      <c r="G46" s="71"/>
      <c r="H46" s="71"/>
      <c r="I46" s="71"/>
      <c r="J46" s="71"/>
      <c r="K46" s="126"/>
      <c r="L46" s="127"/>
      <c r="M46" s="131"/>
      <c r="N46" s="71"/>
      <c r="O46" s="71"/>
      <c r="P46" s="71"/>
    </row>
    <row r="47" spans="1:29" s="114" customFormat="1" ht="18" customHeight="1" x14ac:dyDescent="0.25">
      <c r="A47" s="71"/>
      <c r="B47" s="81" t="s">
        <v>162</v>
      </c>
      <c r="C47" s="519">
        <v>4</v>
      </c>
      <c r="D47" s="510" t="s">
        <v>166</v>
      </c>
      <c r="E47" s="511"/>
      <c r="F47" s="510" t="s">
        <v>167</v>
      </c>
      <c r="G47" s="511"/>
      <c r="H47" s="510" t="s">
        <v>168</v>
      </c>
      <c r="I47" s="511"/>
      <c r="J47" s="504" t="s">
        <v>120</v>
      </c>
      <c r="K47" s="505"/>
      <c r="L47" s="127"/>
      <c r="M47" s="128"/>
      <c r="N47" s="513" t="str">
        <f>IF(Z47+AA47=0,"O K","N O !")</f>
        <v>O K</v>
      </c>
      <c r="O47" s="514"/>
      <c r="P47" s="71"/>
      <c r="Z47" s="114">
        <f>'EU MDM-5000'!S121</f>
        <v>0</v>
      </c>
      <c r="AA47" s="114">
        <f>'EU MDM-5000'!S116</f>
        <v>0</v>
      </c>
      <c r="AC47" s="114">
        <f>IF(J49=0,0,Z47)</f>
        <v>0</v>
      </c>
    </row>
    <row r="48" spans="1:29" s="114" customFormat="1" ht="18" customHeight="1" x14ac:dyDescent="0.25">
      <c r="A48" s="71"/>
      <c r="B48" s="82" t="str">
        <f>_xlfn.TEXTJOIN("",FALSE,"MLTC + ",'Master EU'!D11,"%")</f>
        <v>MLTC + 30%</v>
      </c>
      <c r="C48" s="519"/>
      <c r="D48" s="135">
        <f>'EU MDM-5000'!D115</f>
        <v>28.6</v>
      </c>
      <c r="E48" s="79" t="str">
        <f>'EU MDM-5000'!E115</f>
        <v>A RMS</v>
      </c>
      <c r="F48" s="135">
        <f>'EU MDM-5000'!F115</f>
        <v>28.6</v>
      </c>
      <c r="G48" s="79" t="str">
        <f>'EU MDM-5000'!G115</f>
        <v>A RMS</v>
      </c>
      <c r="H48" s="135">
        <f>'EU MDM-5000'!H115</f>
        <v>28.6</v>
      </c>
      <c r="I48" s="79" t="str">
        <f>'EU MDM-5000'!I115</f>
        <v>A RMS</v>
      </c>
      <c r="J48" s="504"/>
      <c r="K48" s="505"/>
      <c r="L48" s="127"/>
      <c r="M48" s="129" t="str">
        <f>IF(AA47&gt;0,"Inlet Current","")</f>
        <v/>
      </c>
      <c r="N48" s="515"/>
      <c r="O48" s="516"/>
      <c r="P48" s="71"/>
      <c r="Q48" s="116">
        <f>D48*$J$49</f>
        <v>28.6</v>
      </c>
      <c r="R48" s="116">
        <f>F48*$J$49</f>
        <v>28.6</v>
      </c>
      <c r="S48" s="116">
        <f>H48*$J$49</f>
        <v>28.6</v>
      </c>
    </row>
    <row r="49" spans="1:46" s="114" customFormat="1" ht="18" customHeight="1" x14ac:dyDescent="0.25">
      <c r="A49" s="71"/>
      <c r="B49" s="82" t="s">
        <v>110</v>
      </c>
      <c r="C49" s="519"/>
      <c r="D49" s="135">
        <f>'EU MDM-5000'!D116</f>
        <v>37.200000000000003</v>
      </c>
      <c r="E49" s="79" t="str">
        <f>'EU MDM-5000'!E116</f>
        <v>A RMS</v>
      </c>
      <c r="F49" s="135">
        <f>'EU MDM-5000'!F116</f>
        <v>37.200000000000003</v>
      </c>
      <c r="G49" s="79" t="str">
        <f>'EU MDM-5000'!G116</f>
        <v>A RMS</v>
      </c>
      <c r="H49" s="135">
        <f>'EU MDM-5000'!H116</f>
        <v>37.200000000000003</v>
      </c>
      <c r="I49" s="79" t="str">
        <f>'EU MDM-5000'!I116</f>
        <v>A RMS</v>
      </c>
      <c r="J49" s="506">
        <v>1</v>
      </c>
      <c r="K49" s="507"/>
      <c r="L49" s="127"/>
      <c r="M49" s="129" t="str">
        <f>IF(Z47+AA47=0,"",IF(AND(Z47=1,AA47=1),"","Outlet Current"))</f>
        <v/>
      </c>
      <c r="N49" s="515"/>
      <c r="O49" s="516"/>
      <c r="P49" s="71"/>
      <c r="T49" s="116">
        <f>D49*$J$49</f>
        <v>37.200000000000003</v>
      </c>
      <c r="U49" s="116">
        <f>F49*$J$49</f>
        <v>37.200000000000003</v>
      </c>
      <c r="V49" s="116">
        <f>H49*$J$49</f>
        <v>37.200000000000003</v>
      </c>
    </row>
    <row r="50" spans="1:46" s="114" customFormat="1" ht="18" customHeight="1" x14ac:dyDescent="0.25">
      <c r="A50" s="71"/>
      <c r="B50" s="83" t="s">
        <v>111</v>
      </c>
      <c r="C50" s="519"/>
      <c r="D50" s="136">
        <f>'EU MDM-5000'!D117</f>
        <v>87.199999999999989</v>
      </c>
      <c r="E50" s="80" t="str">
        <f>'EU MDM-5000'!E117</f>
        <v>A Pk</v>
      </c>
      <c r="F50" s="136">
        <f>'EU MDM-5000'!F117</f>
        <v>87.199999999999989</v>
      </c>
      <c r="G50" s="80" t="str">
        <f>'EU MDM-5000'!G117</f>
        <v>A Pk</v>
      </c>
      <c r="H50" s="136">
        <f>'EU MDM-5000'!H117</f>
        <v>87.199999999999989</v>
      </c>
      <c r="I50" s="80" t="str">
        <f>'EU MDM-5000'!I117</f>
        <v>A Pk</v>
      </c>
      <c r="J50" s="506"/>
      <c r="K50" s="507"/>
      <c r="L50" s="127"/>
      <c r="M50" s="128"/>
      <c r="N50" s="517"/>
      <c r="O50" s="518"/>
      <c r="P50" s="71"/>
      <c r="W50" s="116">
        <f>D50*$J$49</f>
        <v>87.199999999999989</v>
      </c>
      <c r="X50" s="116">
        <f>F50*$J$49</f>
        <v>87.199999999999989</v>
      </c>
      <c r="Y50" s="116">
        <f>H50*$J$49</f>
        <v>87.199999999999989</v>
      </c>
    </row>
    <row r="51" spans="1:46" s="114" customFormat="1" x14ac:dyDescent="0.2">
      <c r="A51" s="71"/>
      <c r="B51" s="71"/>
      <c r="C51" s="71"/>
      <c r="D51" s="71"/>
      <c r="E51" s="71"/>
      <c r="F51" s="71"/>
      <c r="G51" s="71"/>
      <c r="H51" s="71"/>
      <c r="I51" s="71"/>
      <c r="J51" s="71"/>
      <c r="K51" s="126"/>
      <c r="L51" s="127"/>
      <c r="M51" s="131"/>
      <c r="N51" s="71"/>
      <c r="O51" s="71"/>
      <c r="P51" s="71"/>
    </row>
    <row r="52" spans="1:46" s="114" customFormat="1" ht="18" customHeight="1" x14ac:dyDescent="0.25">
      <c r="A52" s="71"/>
      <c r="B52" s="81" t="s">
        <v>162</v>
      </c>
      <c r="C52" s="519">
        <v>5</v>
      </c>
      <c r="D52" s="510" t="s">
        <v>166</v>
      </c>
      <c r="E52" s="511"/>
      <c r="F52" s="510" t="s">
        <v>167</v>
      </c>
      <c r="G52" s="511"/>
      <c r="H52" s="510" t="s">
        <v>168</v>
      </c>
      <c r="I52" s="511"/>
      <c r="J52" s="504" t="s">
        <v>120</v>
      </c>
      <c r="K52" s="505"/>
      <c r="L52" s="127"/>
      <c r="M52" s="128"/>
      <c r="N52" s="513" t="str">
        <f>IF(Z52+AA52=0,"O K","N O !")</f>
        <v>O K</v>
      </c>
      <c r="O52" s="514"/>
      <c r="P52" s="71"/>
      <c r="Z52" s="114">
        <f>'EU MDM-5000'!S158</f>
        <v>0</v>
      </c>
      <c r="AA52" s="114">
        <f>'EU MDM-5000'!S153</f>
        <v>0</v>
      </c>
      <c r="AC52" s="114">
        <f>IF(J54=0,0,Z52)</f>
        <v>0</v>
      </c>
    </row>
    <row r="53" spans="1:46" s="114" customFormat="1" ht="18" customHeight="1" x14ac:dyDescent="0.25">
      <c r="A53" s="71"/>
      <c r="B53" s="82" t="str">
        <f>_xlfn.TEXTJOIN("",FALSE,"MLTC + ",'Master EU'!D11,"%")</f>
        <v>MLTC + 30%</v>
      </c>
      <c r="C53" s="519"/>
      <c r="D53" s="135">
        <f>'EU MDM-5000'!D152</f>
        <v>28.6</v>
      </c>
      <c r="E53" s="118" t="str">
        <f>'EU MDM-5000'!E152</f>
        <v>A RMS</v>
      </c>
      <c r="F53" s="135">
        <f>'EU MDM-5000'!F152</f>
        <v>28.6</v>
      </c>
      <c r="G53" s="118" t="str">
        <f>'EU MDM-5000'!G152</f>
        <v>A RMS</v>
      </c>
      <c r="H53" s="135">
        <f>'EU MDM-5000'!H152</f>
        <v>28.6</v>
      </c>
      <c r="I53" s="118" t="str">
        <f>'EU MDM-5000'!I152</f>
        <v>A RMS</v>
      </c>
      <c r="J53" s="504"/>
      <c r="K53" s="505"/>
      <c r="L53" s="127"/>
      <c r="M53" s="129" t="str">
        <f>IF(AA52&gt;0,"Inlet Current","")</f>
        <v/>
      </c>
      <c r="N53" s="515"/>
      <c r="O53" s="516"/>
      <c r="P53" s="71"/>
      <c r="Q53" s="116">
        <f>D53*$J$54</f>
        <v>28.6</v>
      </c>
      <c r="R53" s="116">
        <f>F53*$J$54</f>
        <v>28.6</v>
      </c>
      <c r="S53" s="116">
        <f>H53*$J$54</f>
        <v>28.6</v>
      </c>
    </row>
    <row r="54" spans="1:46" s="114" customFormat="1" ht="18" customHeight="1" x14ac:dyDescent="0.25">
      <c r="A54" s="71"/>
      <c r="B54" s="82" t="s">
        <v>110</v>
      </c>
      <c r="C54" s="519"/>
      <c r="D54" s="135">
        <f>'EU MDM-5000'!D153</f>
        <v>37.200000000000003</v>
      </c>
      <c r="E54" s="118" t="str">
        <f>'EU MDM-5000'!E153</f>
        <v>A RMS</v>
      </c>
      <c r="F54" s="135">
        <f>'EU MDM-5000'!F153</f>
        <v>37.200000000000003</v>
      </c>
      <c r="G54" s="118" t="str">
        <f>'EU MDM-5000'!G153</f>
        <v>A RMS</v>
      </c>
      <c r="H54" s="135">
        <f>'EU MDM-5000'!H153</f>
        <v>37.200000000000003</v>
      </c>
      <c r="I54" s="118" t="str">
        <f>'EU MDM-5000'!I153</f>
        <v>A RMS</v>
      </c>
      <c r="J54" s="506">
        <v>1</v>
      </c>
      <c r="K54" s="507"/>
      <c r="L54" s="127"/>
      <c r="M54" s="129" t="str">
        <f>IF(Z52+AA52=0,"",IF(AND(Z52=1,AA52=1),"","Outlet Current"))</f>
        <v/>
      </c>
      <c r="N54" s="515"/>
      <c r="O54" s="516"/>
      <c r="P54" s="71"/>
      <c r="T54" s="116">
        <f>D54*$J$54</f>
        <v>37.200000000000003</v>
      </c>
      <c r="U54" s="116">
        <f>F54*$J$54</f>
        <v>37.200000000000003</v>
      </c>
      <c r="V54" s="116">
        <f>H54*$J$54</f>
        <v>37.200000000000003</v>
      </c>
    </row>
    <row r="55" spans="1:46" s="114" customFormat="1" ht="18" customHeight="1" x14ac:dyDescent="0.25">
      <c r="A55" s="71"/>
      <c r="B55" s="83" t="s">
        <v>111</v>
      </c>
      <c r="C55" s="519"/>
      <c r="D55" s="136">
        <f>'EU MDM-5000'!D154</f>
        <v>87.199999999999989</v>
      </c>
      <c r="E55" s="119" t="str">
        <f>'EU MDM-5000'!E154</f>
        <v>A Pk</v>
      </c>
      <c r="F55" s="136">
        <f>'EU MDM-5000'!F154</f>
        <v>87.199999999999989</v>
      </c>
      <c r="G55" s="119" t="str">
        <f>'EU MDM-5000'!G154</f>
        <v>A Pk</v>
      </c>
      <c r="H55" s="136">
        <f>'EU MDM-5000'!H154</f>
        <v>87.199999999999989</v>
      </c>
      <c r="I55" s="119" t="str">
        <f>'EU MDM-5000'!I154</f>
        <v>A Pk</v>
      </c>
      <c r="J55" s="506"/>
      <c r="K55" s="507"/>
      <c r="L55" s="127"/>
      <c r="M55" s="130"/>
      <c r="N55" s="517"/>
      <c r="O55" s="518"/>
      <c r="P55" s="71"/>
      <c r="W55" s="116">
        <f>D55*$J$54</f>
        <v>87.199999999999989</v>
      </c>
      <c r="X55" s="116">
        <f>F55*$J$54</f>
        <v>87.199999999999989</v>
      </c>
      <c r="Y55" s="116">
        <f>H55*$J$54</f>
        <v>87.199999999999989</v>
      </c>
    </row>
    <row r="56" spans="1:46" s="114" customFormat="1" x14ac:dyDescent="0.2">
      <c r="A56" s="71"/>
      <c r="B56" s="71"/>
      <c r="C56" s="71"/>
      <c r="D56" s="71"/>
      <c r="E56" s="71"/>
      <c r="F56" s="71"/>
      <c r="G56" s="71"/>
      <c r="H56" s="71"/>
      <c r="I56" s="71"/>
      <c r="J56" s="71"/>
      <c r="K56" s="126"/>
      <c r="L56" s="127"/>
      <c r="M56" s="131"/>
      <c r="N56" s="71"/>
      <c r="O56" s="71"/>
      <c r="P56" s="71"/>
    </row>
    <row r="57" spans="1:46" s="114" customFormat="1" ht="18" customHeight="1" x14ac:dyDescent="0.25">
      <c r="A57" s="71"/>
      <c r="B57" s="81" t="s">
        <v>162</v>
      </c>
      <c r="C57" s="519">
        <v>6</v>
      </c>
      <c r="D57" s="510" t="s">
        <v>166</v>
      </c>
      <c r="E57" s="511"/>
      <c r="F57" s="510" t="s">
        <v>167</v>
      </c>
      <c r="G57" s="511"/>
      <c r="H57" s="510" t="s">
        <v>168</v>
      </c>
      <c r="I57" s="511"/>
      <c r="J57" s="504" t="s">
        <v>120</v>
      </c>
      <c r="K57" s="505"/>
      <c r="L57" s="127"/>
      <c r="M57" s="129"/>
      <c r="N57" s="513" t="str">
        <f>IF(Z57+AA57=0,"O K","N O !")</f>
        <v>O K</v>
      </c>
      <c r="O57" s="514"/>
      <c r="P57" s="71"/>
      <c r="Z57" s="114">
        <f>'EU MDM-5000'!S195</f>
        <v>0</v>
      </c>
      <c r="AA57" s="114">
        <f>'EU MDM-5000'!S190</f>
        <v>0</v>
      </c>
      <c r="AC57" s="114">
        <f>IF(J59=0,0,Z57)</f>
        <v>0</v>
      </c>
    </row>
    <row r="58" spans="1:46" s="114" customFormat="1" ht="18" customHeight="1" x14ac:dyDescent="0.25">
      <c r="A58" s="71"/>
      <c r="B58" s="82" t="str">
        <f>_xlfn.TEXTJOIN("",FALSE,"MLTC + ",'Master EU'!D11,"%")</f>
        <v>MLTC + 30%</v>
      </c>
      <c r="C58" s="519"/>
      <c r="D58" s="135">
        <f>'EU MDM-5000'!D189</f>
        <v>28.6</v>
      </c>
      <c r="E58" s="79" t="str">
        <f>'EU MDM-5000'!E189</f>
        <v>A RMS</v>
      </c>
      <c r="F58" s="135">
        <f>'EU MDM-5000'!F189</f>
        <v>28.6</v>
      </c>
      <c r="G58" s="79" t="str">
        <f>'EU MDM-5000'!G189</f>
        <v>A RMS</v>
      </c>
      <c r="H58" s="135">
        <f>'EU MDM-5000'!H189</f>
        <v>28.6</v>
      </c>
      <c r="I58" s="79" t="str">
        <f>'EU MDM-5000'!I189</f>
        <v>A RMS</v>
      </c>
      <c r="J58" s="504"/>
      <c r="K58" s="505"/>
      <c r="L58" s="127"/>
      <c r="M58" s="129" t="str">
        <f>IF(AA57&gt;0,"Inlet Current","")</f>
        <v/>
      </c>
      <c r="N58" s="515"/>
      <c r="O58" s="516"/>
      <c r="P58" s="71"/>
      <c r="Q58" s="116">
        <f>D58*$J$59</f>
        <v>28.6</v>
      </c>
      <c r="R58" s="116">
        <f>F58*$J$59</f>
        <v>28.6</v>
      </c>
      <c r="S58" s="116">
        <f>H58*$J$59</f>
        <v>28.6</v>
      </c>
    </row>
    <row r="59" spans="1:46" s="114" customFormat="1" ht="18" customHeight="1" x14ac:dyDescent="0.25">
      <c r="A59" s="71"/>
      <c r="B59" s="82" t="s">
        <v>110</v>
      </c>
      <c r="C59" s="519"/>
      <c r="D59" s="135">
        <f>'EU MDM-5000'!D190</f>
        <v>37.200000000000003</v>
      </c>
      <c r="E59" s="79" t="str">
        <f>'EU MDM-5000'!E190</f>
        <v>A RMS</v>
      </c>
      <c r="F59" s="135">
        <f>'EU MDM-5000'!F190</f>
        <v>37.200000000000003</v>
      </c>
      <c r="G59" s="79" t="str">
        <f>'EU MDM-5000'!G190</f>
        <v>A RMS</v>
      </c>
      <c r="H59" s="135">
        <f>'EU MDM-5000'!H190</f>
        <v>37.200000000000003</v>
      </c>
      <c r="I59" s="79" t="str">
        <f>'EU MDM-5000'!I190</f>
        <v>A RMS</v>
      </c>
      <c r="J59" s="506">
        <v>1</v>
      </c>
      <c r="K59" s="507"/>
      <c r="L59" s="127"/>
      <c r="M59" s="129" t="str">
        <f>IF(Z57+AA57=0,"",IF(AND(Z57=1,AA57=1),"","Outlet Current"))</f>
        <v/>
      </c>
      <c r="N59" s="515"/>
      <c r="O59" s="516"/>
      <c r="P59" s="71"/>
      <c r="T59" s="116">
        <f>D59*$J$59</f>
        <v>37.200000000000003</v>
      </c>
      <c r="U59" s="116">
        <f>F59*$J$59</f>
        <v>37.200000000000003</v>
      </c>
      <c r="V59" s="116">
        <f>H59*$J$59</f>
        <v>37.200000000000003</v>
      </c>
    </row>
    <row r="60" spans="1:46" s="114" customFormat="1" ht="18" customHeight="1" x14ac:dyDescent="0.25">
      <c r="A60" s="71"/>
      <c r="B60" s="83" t="s">
        <v>111</v>
      </c>
      <c r="C60" s="519"/>
      <c r="D60" s="136">
        <f>'EU MDM-5000'!D191</f>
        <v>87.199999999999989</v>
      </c>
      <c r="E60" s="80" t="str">
        <f>'EU MDM-5000'!E191</f>
        <v>A Pk</v>
      </c>
      <c r="F60" s="136">
        <f>'EU MDM-5000'!F191</f>
        <v>87.199999999999989</v>
      </c>
      <c r="G60" s="80" t="str">
        <f>'EU MDM-5000'!G191</f>
        <v>A Pk</v>
      </c>
      <c r="H60" s="136">
        <f>'EU MDM-5000'!H191</f>
        <v>87.199999999999989</v>
      </c>
      <c r="I60" s="80" t="str">
        <f>'EU MDM-5000'!I191</f>
        <v>A Pk</v>
      </c>
      <c r="J60" s="506"/>
      <c r="K60" s="507"/>
      <c r="L60" s="127"/>
      <c r="M60" s="132"/>
      <c r="N60" s="517"/>
      <c r="O60" s="518"/>
      <c r="P60" s="71"/>
      <c r="W60" s="116">
        <f>D60*$J$59</f>
        <v>87.199999999999989</v>
      </c>
      <c r="X60" s="116">
        <f>F60*$J$59</f>
        <v>87.199999999999989</v>
      </c>
      <c r="Y60" s="116">
        <f>H60*$J$59</f>
        <v>87.199999999999989</v>
      </c>
    </row>
    <row r="61" spans="1:46" s="114" customFormat="1" x14ac:dyDescent="0.2">
      <c r="A61" s="71"/>
      <c r="B61" s="71" t="str">
        <f>Data!$T$1</f>
        <v>Meyer Sound Laboratories, Inc. Berkeley, California, USA                                 www.meyersound.com</v>
      </c>
      <c r="C61" s="71"/>
      <c r="D61" s="71"/>
      <c r="E61" s="71"/>
      <c r="F61" s="71"/>
      <c r="G61" s="71"/>
      <c r="H61" s="71"/>
      <c r="I61" s="71"/>
      <c r="J61" s="71"/>
      <c r="K61" s="71"/>
      <c r="L61" s="71"/>
      <c r="M61" s="71"/>
      <c r="N61" s="71"/>
      <c r="O61" s="162" t="str">
        <f>Data!$M$1</f>
        <v>06.257.005.01 C</v>
      </c>
      <c r="P61" s="126"/>
    </row>
    <row r="62" spans="1:46" s="114" customFormat="1" x14ac:dyDescent="0.2">
      <c r="A62" s="71"/>
      <c r="B62" s="71"/>
      <c r="C62" s="71"/>
      <c r="D62" s="71"/>
      <c r="E62" s="71"/>
      <c r="F62" s="71"/>
      <c r="G62" s="71"/>
      <c r="H62" s="71"/>
      <c r="I62" s="71"/>
      <c r="J62" s="71"/>
      <c r="K62" s="71"/>
      <c r="L62" s="71"/>
      <c r="M62" s="71"/>
      <c r="N62" s="71"/>
      <c r="O62" s="71"/>
      <c r="P62" s="71"/>
    </row>
    <row r="63" spans="1:46" s="147" customFormat="1" ht="21" x14ac:dyDescent="0.25">
      <c r="B63" s="151" t="s">
        <v>178</v>
      </c>
      <c r="C63" s="152"/>
      <c r="D63" s="152"/>
      <c r="E63" s="152"/>
      <c r="F63" s="152"/>
      <c r="G63" s="152"/>
      <c r="H63" s="152"/>
      <c r="I63" s="152"/>
      <c r="J63" s="152"/>
      <c r="K63" s="152"/>
      <c r="L63" s="152"/>
      <c r="M63" s="152"/>
      <c r="N63" s="152"/>
      <c r="O63" s="153" t="str">
        <f>IF(R64=1,"","&gt; MDM832 #1 is connected to an MDM-5000. See EU MDM-5000")</f>
        <v/>
      </c>
      <c r="Q63" s="127"/>
      <c r="R63" s="127"/>
      <c r="S63" s="127"/>
      <c r="T63" s="127"/>
      <c r="U63" s="127"/>
      <c r="V63" s="127"/>
      <c r="W63" s="127"/>
      <c r="X63" s="127"/>
      <c r="Y63" s="127"/>
      <c r="Z63" s="127"/>
      <c r="AA63" s="127"/>
      <c r="AB63" s="127"/>
      <c r="AC63" s="127"/>
      <c r="AD63" s="127"/>
      <c r="AE63" s="127"/>
      <c r="AF63" s="127"/>
      <c r="AG63" s="127"/>
      <c r="AH63" s="127"/>
      <c r="AI63" s="127"/>
      <c r="AJ63" s="127"/>
      <c r="AK63" s="127"/>
      <c r="AL63" s="127"/>
      <c r="AM63" s="127"/>
      <c r="AN63" s="127"/>
      <c r="AO63" s="127"/>
      <c r="AP63" s="127"/>
      <c r="AQ63" s="127"/>
      <c r="AR63" s="127"/>
      <c r="AS63" s="127"/>
      <c r="AT63" s="127"/>
    </row>
    <row r="64" spans="1:46" ht="19" customHeight="1" x14ac:dyDescent="0.25">
      <c r="A64" s="147"/>
      <c r="B64" s="81" t="s">
        <v>162</v>
      </c>
      <c r="C64" s="502" t="s">
        <v>179</v>
      </c>
      <c r="D64" s="510" t="str">
        <f>IF(AND(R64=1,C67="L1"),"L1","")</f>
        <v>L1</v>
      </c>
      <c r="E64" s="511"/>
      <c r="F64" s="510" t="str">
        <f>IF(AND(R64=1,C67="L2"),"L2","")</f>
        <v/>
      </c>
      <c r="G64" s="511"/>
      <c r="H64" s="510" t="str">
        <f>IF(AND(R64=1,C67="L3"),"L3","")</f>
        <v/>
      </c>
      <c r="I64" s="511"/>
      <c r="J64" s="512" t="s">
        <v>120</v>
      </c>
      <c r="K64" s="505"/>
      <c r="L64" s="127"/>
      <c r="M64" s="150"/>
      <c r="N64" s="513" t="str">
        <f>IF(Z64+AA64=0,"O K","N O !")</f>
        <v>O K</v>
      </c>
      <c r="O64" s="514"/>
      <c r="P64" s="147"/>
      <c r="Q64" s="114" t="s">
        <v>180</v>
      </c>
      <c r="R64" s="114">
        <f>IF('EU MDM-5000'!AE2&gt;0,0,1)</f>
        <v>1</v>
      </c>
      <c r="Z64" s="114">
        <f>'EU MDM-832'!W14</f>
        <v>0</v>
      </c>
      <c r="AA64" s="114">
        <f>'EU MDM-832'!W9</f>
        <v>0</v>
      </c>
      <c r="AB64" s="114">
        <f>'EU MDM-832'!W12</f>
        <v>0</v>
      </c>
      <c r="AC64" s="114">
        <f>IF(OR(J66=0,R64=0),0,AA64)</f>
        <v>0</v>
      </c>
    </row>
    <row r="65" spans="1:46" ht="19" x14ac:dyDescent="0.25">
      <c r="A65" s="147"/>
      <c r="B65" s="82" t="str">
        <f>_xlfn.TEXTJOIN("",FALSE,"MLTC + ",'Master EU'!D11,"%")</f>
        <v>MLTC + 30%</v>
      </c>
      <c r="C65" s="503"/>
      <c r="D65" s="135">
        <f>IF(AND(R64=1,C67="L1"),'EU MDM-832'!D4,"")</f>
        <v>23.919999999999998</v>
      </c>
      <c r="E65" s="148" t="str">
        <f>IF(AND(R64=1,C67="L1"),'EU MDM-832'!E4,"")</f>
        <v>A RMS</v>
      </c>
      <c r="F65" s="135" t="str">
        <f>IF(AND(R64=1,C67="L2"),'EU MDM-832'!D4,"")</f>
        <v/>
      </c>
      <c r="G65" s="148" t="str">
        <f>IF(AND(R64=1,C67="L2"),'EU MDM-832'!E4,"")</f>
        <v/>
      </c>
      <c r="H65" s="135" t="str">
        <f>IF(AND(R64=1,C67="L3"),'EU MDM-832'!D4,"")</f>
        <v/>
      </c>
      <c r="I65" s="148" t="str">
        <f>IF(AND(R64=1,C67="L3"),'EU MDM-832'!E4,"")</f>
        <v/>
      </c>
      <c r="J65" s="505"/>
      <c r="K65" s="505"/>
      <c r="L65" s="127"/>
      <c r="M65" s="129" t="str">
        <f>IF(AA64&gt;0,"Inlet Current","")</f>
        <v/>
      </c>
      <c r="N65" s="515"/>
      <c r="O65" s="516"/>
      <c r="P65" s="147"/>
      <c r="Q65" s="116">
        <f>IF(D65="",0,D65*$J$66)</f>
        <v>23.919999999999998</v>
      </c>
      <c r="R65" s="116">
        <f>IF(F65="",0,F65*$J$66)</f>
        <v>0</v>
      </c>
      <c r="S65" s="116">
        <f>IF(H65="",0,H65*$J$66)</f>
        <v>0</v>
      </c>
    </row>
    <row r="66" spans="1:46" ht="19" x14ac:dyDescent="0.25">
      <c r="A66" s="147"/>
      <c r="B66" s="82" t="s">
        <v>110</v>
      </c>
      <c r="C66" s="503"/>
      <c r="D66" s="135">
        <f>IF(AND(R64=1,C67="L1"),'EU MDM-832'!D5,"")</f>
        <v>32.4</v>
      </c>
      <c r="E66" s="148" t="str">
        <f>IF(AND(R64=1,C67="L1"),'EU MDM-832'!E5,"")</f>
        <v>A RMS</v>
      </c>
      <c r="F66" s="135" t="str">
        <f>IF(AND(R64=1,C67="L2"),'EU MDM-832'!D5,"")</f>
        <v/>
      </c>
      <c r="G66" s="148" t="str">
        <f>IF(AND(R64=1,C67="L2"),'EU MDM-832'!E5,"")</f>
        <v/>
      </c>
      <c r="H66" s="135" t="str">
        <f>IF(AND(R64=1,C67="L3"),'EU MDM-832'!D5,"")</f>
        <v/>
      </c>
      <c r="I66" s="148" t="str">
        <f>IF(AND(R64=1,C67="L3"),'EU MDM-832'!E5,"")</f>
        <v/>
      </c>
      <c r="J66" s="507">
        <v>1</v>
      </c>
      <c r="K66" s="507"/>
      <c r="L66" s="127"/>
      <c r="M66" s="129" t="str">
        <f>IF(Z64+AA64=0,"",IF(AND(Z64=1,AA64=1),"","Outlet Current"))</f>
        <v/>
      </c>
      <c r="N66" s="515"/>
      <c r="O66" s="516"/>
      <c r="P66" s="147"/>
      <c r="T66" s="116">
        <f>IF(D66="",0,D66*$J$66)</f>
        <v>32.4</v>
      </c>
      <c r="U66" s="116">
        <f>IF(F66="",0,F66*$J$66)</f>
        <v>0</v>
      </c>
      <c r="V66" s="116">
        <f>IF(H66="",0,H66*$J$66)</f>
        <v>0</v>
      </c>
    </row>
    <row r="67" spans="1:46" ht="22" x14ac:dyDescent="0.25">
      <c r="A67" s="147"/>
      <c r="B67" s="83" t="s">
        <v>111</v>
      </c>
      <c r="C67" s="155" t="s">
        <v>166</v>
      </c>
      <c r="D67" s="136">
        <f>IF(AND(R64=1,C67="L1"),'EU MDM-832'!D6,"")</f>
        <v>53.999999999999986</v>
      </c>
      <c r="E67" s="149" t="str">
        <f>IF(AND(R64=1,C67="L1"),'EU MDM-832'!E6,"")</f>
        <v>A Pk</v>
      </c>
      <c r="F67" s="136" t="str">
        <f>IF(AND(R64=1,C67="L2"),'EU MDM-832'!D6,"")</f>
        <v/>
      </c>
      <c r="G67" s="149" t="str">
        <f>IF(AND(R64=1,C67="L2"),'EU MDM-832'!E6,"")</f>
        <v/>
      </c>
      <c r="H67" s="136" t="str">
        <f>IF(AND(R64=1,C67="L3"),'EU MDM-832'!D6,"")</f>
        <v/>
      </c>
      <c r="I67" s="149" t="str">
        <f>IF(AND(R64=1,C67="L3"),'EU MDM-832'!E6,"")</f>
        <v/>
      </c>
      <c r="J67" s="507"/>
      <c r="K67" s="507"/>
      <c r="L67" s="127"/>
      <c r="M67" s="132"/>
      <c r="N67" s="517"/>
      <c r="O67" s="518"/>
      <c r="P67" s="147"/>
      <c r="W67" s="116">
        <f>IF(D67="",0,D67*$J$66)</f>
        <v>53.999999999999986</v>
      </c>
      <c r="X67" s="116">
        <f>IF(F67="",0,F67*$J$66)</f>
        <v>0</v>
      </c>
      <c r="Y67" s="116">
        <f>IF(H67="",0,H67*$J$66)</f>
        <v>0</v>
      </c>
    </row>
    <row r="68" spans="1:46" x14ac:dyDescent="0.2">
      <c r="A68" s="147"/>
      <c r="B68" s="147"/>
      <c r="C68" s="147"/>
      <c r="D68" s="147"/>
      <c r="E68" s="147"/>
      <c r="F68" s="147"/>
      <c r="G68" s="147"/>
      <c r="H68" s="147"/>
      <c r="I68" s="147"/>
      <c r="J68" s="147"/>
      <c r="K68" s="147"/>
      <c r="L68" s="147"/>
      <c r="M68" s="147"/>
      <c r="N68" s="147"/>
      <c r="O68" s="147"/>
      <c r="P68" s="147"/>
    </row>
    <row r="69" spans="1:46" s="147" customFormat="1" ht="21" x14ac:dyDescent="0.25">
      <c r="B69" s="151" t="s">
        <v>181</v>
      </c>
      <c r="C69" s="152"/>
      <c r="D69" s="152"/>
      <c r="E69" s="152"/>
      <c r="F69" s="152"/>
      <c r="G69" s="152"/>
      <c r="H69" s="152"/>
      <c r="I69" s="152"/>
      <c r="J69" s="152"/>
      <c r="K69" s="152"/>
      <c r="L69" s="152"/>
      <c r="M69" s="152"/>
      <c r="N69" s="152"/>
      <c r="O69" s="153" t="str">
        <f>IF(R70=1,"","&gt; MDM832 #2 is connected to an MDM-5000. See EU MDM-5000")</f>
        <v/>
      </c>
      <c r="Q69" s="127"/>
      <c r="R69" s="127"/>
      <c r="S69" s="127"/>
      <c r="T69" s="127"/>
      <c r="U69" s="127"/>
      <c r="V69" s="127"/>
      <c r="W69" s="127"/>
      <c r="X69" s="127"/>
      <c r="Y69" s="127"/>
      <c r="Z69" s="127"/>
      <c r="AA69" s="127"/>
      <c r="AB69" s="127"/>
      <c r="AC69" s="127"/>
      <c r="AD69" s="127"/>
      <c r="AE69" s="127"/>
      <c r="AF69" s="127"/>
      <c r="AG69" s="127"/>
      <c r="AH69" s="127"/>
      <c r="AI69" s="127"/>
      <c r="AJ69" s="127"/>
      <c r="AK69" s="127"/>
      <c r="AL69" s="127"/>
      <c r="AM69" s="127"/>
      <c r="AN69" s="127"/>
      <c r="AO69" s="127"/>
      <c r="AP69" s="127"/>
      <c r="AQ69" s="127"/>
      <c r="AR69" s="127"/>
      <c r="AS69" s="127"/>
      <c r="AT69" s="127"/>
    </row>
    <row r="70" spans="1:46" ht="19" customHeight="1" x14ac:dyDescent="0.25">
      <c r="A70" s="147"/>
      <c r="B70" s="81" t="s">
        <v>162</v>
      </c>
      <c r="C70" s="502" t="s">
        <v>179</v>
      </c>
      <c r="D70" s="510" t="str">
        <f>IF(AND(R70=1,C73="L1"),"L1","")</f>
        <v/>
      </c>
      <c r="E70" s="511"/>
      <c r="F70" s="510" t="str">
        <f>IF(AND(R70=1,C73="L2"),"L2","")</f>
        <v>L2</v>
      </c>
      <c r="G70" s="511"/>
      <c r="H70" s="510" t="str">
        <f>IF(AND(R70=1,C73="L3"),"L3","")</f>
        <v/>
      </c>
      <c r="I70" s="511"/>
      <c r="J70" s="512" t="s">
        <v>120</v>
      </c>
      <c r="K70" s="505"/>
      <c r="L70" s="127"/>
      <c r="M70" s="150"/>
      <c r="N70" s="513" t="str">
        <f>IF(Z70+AA70=0,"O K","N O !")</f>
        <v>O K</v>
      </c>
      <c r="O70" s="514"/>
      <c r="P70" s="147"/>
      <c r="Q70" s="114" t="s">
        <v>180</v>
      </c>
      <c r="R70" s="114">
        <f>IF('EU MDM-5000'!AF2&gt;0,0,1)</f>
        <v>1</v>
      </c>
      <c r="Z70" s="114">
        <f>'EU MDM-832'!W52</f>
        <v>0</v>
      </c>
      <c r="AA70" s="114">
        <f>'EU MDM-832'!W47</f>
        <v>0</v>
      </c>
      <c r="AB70" s="114">
        <f>'EU MDM-832'!W50</f>
        <v>0</v>
      </c>
      <c r="AC70" s="114">
        <f>IF(OR(J72=0,R70=0),0,AA70)</f>
        <v>0</v>
      </c>
    </row>
    <row r="71" spans="1:46" ht="19" x14ac:dyDescent="0.25">
      <c r="A71" s="147"/>
      <c r="B71" s="82" t="str">
        <f>_xlfn.TEXTJOIN("",FALSE,"MLTC + ",'Master EU'!D11,"%")</f>
        <v>MLTC + 30%</v>
      </c>
      <c r="C71" s="503"/>
      <c r="D71" s="135" t="str">
        <f>IF(AND(R70=1,C73="L1"),'EU MDM-832'!D42,"")</f>
        <v/>
      </c>
      <c r="E71" s="148" t="str">
        <f>IF(AND(R70=1,C73="L1"),'EU MDM-832'!E42,"")</f>
        <v/>
      </c>
      <c r="F71" s="135">
        <f>IF(AND(R70=1,C73="L2"),'EU MDM-832'!D42,"")</f>
        <v>11.44</v>
      </c>
      <c r="G71" s="148" t="str">
        <f>IF(AND(R70=1,C73="L2"),'EU MDM-832'!E42,"")</f>
        <v>A RMS</v>
      </c>
      <c r="H71" s="135" t="str">
        <f>IF(AND(R70=1,C73="L3"),'EU MDM-832'!D42,"")</f>
        <v/>
      </c>
      <c r="I71" s="148" t="str">
        <f>IF(AND(R70=1,C73="L3"),'EU MDM-832'!E42,"")</f>
        <v/>
      </c>
      <c r="J71" s="505"/>
      <c r="K71" s="505"/>
      <c r="L71" s="127"/>
      <c r="M71" s="129" t="str">
        <f>IF(AA70&gt;0,"Inlet Current","")</f>
        <v/>
      </c>
      <c r="N71" s="515"/>
      <c r="O71" s="516"/>
      <c r="P71" s="147"/>
      <c r="Q71" s="116">
        <f>IF(D71="",0,D71*$J$72)</f>
        <v>0</v>
      </c>
      <c r="R71" s="116">
        <f>IF(F71="",0,F71*$J$72)</f>
        <v>11.44</v>
      </c>
      <c r="S71" s="116">
        <f>IF(H71="",0,H71*$J$72)</f>
        <v>0</v>
      </c>
    </row>
    <row r="72" spans="1:46" ht="19" x14ac:dyDescent="0.25">
      <c r="A72" s="147"/>
      <c r="B72" s="82" t="s">
        <v>110</v>
      </c>
      <c r="C72" s="503"/>
      <c r="D72" s="135" t="str">
        <f>IF(AND(R70=1,C73="L1"),'EU MDM-832'!D43,"")</f>
        <v/>
      </c>
      <c r="E72" s="148" t="str">
        <f>IF(AND(R70=1,C73="L1"),'EU MDM-832'!E43,"")</f>
        <v/>
      </c>
      <c r="F72" s="135">
        <f>IF(AND(R70=1,C73="L2"),'EU MDM-832'!D43,"")</f>
        <v>19.2</v>
      </c>
      <c r="G72" s="148" t="str">
        <f>IF(AND(R70=1,C73="L2"),'EU MDM-832'!E43,"")</f>
        <v>A RMS</v>
      </c>
      <c r="H72" s="135" t="str">
        <f>IF(AND(R70=1,C73="L3"),'EU MDM-832'!D43,"")</f>
        <v/>
      </c>
      <c r="I72" s="148" t="str">
        <f>IF(AND(R70=1,C73="L3"),'EU MDM-832'!E43,"")</f>
        <v/>
      </c>
      <c r="J72" s="507">
        <v>1</v>
      </c>
      <c r="K72" s="507"/>
      <c r="L72" s="127"/>
      <c r="M72" s="129" t="str">
        <f>IF(Z70+AA70=0,"",IF(AND(Z70=1,AA70=1),"","Outlet Current"))</f>
        <v/>
      </c>
      <c r="N72" s="515"/>
      <c r="O72" s="516"/>
      <c r="P72" s="147"/>
      <c r="T72" s="116">
        <f>IF(D72="",0,D72*$J$72)</f>
        <v>0</v>
      </c>
      <c r="U72" s="116">
        <f>IF(F72="",0,F72*$J$72)</f>
        <v>19.2</v>
      </c>
      <c r="V72" s="116">
        <f>IF(H72="",0,H72*$J$72)</f>
        <v>0</v>
      </c>
    </row>
    <row r="73" spans="1:46" ht="22" x14ac:dyDescent="0.25">
      <c r="A73" s="147"/>
      <c r="B73" s="83" t="s">
        <v>111</v>
      </c>
      <c r="C73" s="155" t="s">
        <v>167</v>
      </c>
      <c r="D73" s="136" t="str">
        <f>IF(AND(R70=1,C73="L1"),'EU MDM-832'!D44,"")</f>
        <v/>
      </c>
      <c r="E73" s="149" t="str">
        <f>IF(AND(R70=1,C73="L1"),'EU MDM-832'!E44,"")</f>
        <v/>
      </c>
      <c r="F73" s="136">
        <f>IF(AND(R70=1,C73="L2"),'EU MDM-832'!D44,"")</f>
        <v>19.2</v>
      </c>
      <c r="G73" s="149" t="str">
        <f>IF(AND(R70=1,C73="L2"),'EU MDM-832'!E44,"")</f>
        <v>A Pk</v>
      </c>
      <c r="H73" s="136" t="str">
        <f>IF(AND(R70=1,C73="L3"),'EU MDM-832'!D44,"")</f>
        <v/>
      </c>
      <c r="I73" s="149" t="str">
        <f>IF(AND(R70=1,C73="L3"),'EU MDM-832'!E44,"")</f>
        <v/>
      </c>
      <c r="J73" s="507"/>
      <c r="K73" s="507"/>
      <c r="L73" s="127"/>
      <c r="M73" s="132"/>
      <c r="N73" s="517"/>
      <c r="O73" s="518"/>
      <c r="P73" s="147"/>
      <c r="W73" s="116">
        <f>IF(D73="",0,D73*$J$72)</f>
        <v>0</v>
      </c>
      <c r="X73" s="116">
        <f>IF(F73="",0,F73*$J$72)</f>
        <v>19.2</v>
      </c>
      <c r="Y73" s="116">
        <f>IF(H73="",0,H73*$J$72)</f>
        <v>0</v>
      </c>
    </row>
    <row r="74" spans="1:46" x14ac:dyDescent="0.2">
      <c r="A74" s="147"/>
      <c r="B74" s="147"/>
      <c r="C74" s="147"/>
      <c r="D74" s="147"/>
      <c r="E74" s="147"/>
      <c r="F74" s="147"/>
      <c r="G74" s="147"/>
      <c r="H74" s="147"/>
      <c r="I74" s="147"/>
      <c r="J74" s="147"/>
      <c r="K74" s="147"/>
      <c r="L74" s="147"/>
      <c r="M74" s="147"/>
      <c r="N74" s="147"/>
      <c r="O74" s="147"/>
      <c r="P74" s="147"/>
    </row>
    <row r="75" spans="1:46" s="147" customFormat="1" ht="21" x14ac:dyDescent="0.25">
      <c r="B75" s="151" t="s">
        <v>182</v>
      </c>
      <c r="C75" s="152"/>
      <c r="D75" s="152"/>
      <c r="E75" s="152"/>
      <c r="F75" s="152"/>
      <c r="G75" s="152"/>
      <c r="H75" s="152"/>
      <c r="I75" s="152"/>
      <c r="J75" s="152"/>
      <c r="K75" s="152"/>
      <c r="L75" s="152"/>
      <c r="M75" s="152"/>
      <c r="N75" s="152"/>
      <c r="O75" s="153" t="str">
        <f>IF(R76=1,"","&gt; MDM832 #3 is connected to an MDM-5000. See EU MDM-5000")</f>
        <v/>
      </c>
      <c r="Q75" s="127"/>
      <c r="R75" s="127"/>
      <c r="S75" s="127"/>
      <c r="T75" s="127"/>
      <c r="U75" s="127"/>
      <c r="V75" s="127"/>
      <c r="W75" s="127"/>
      <c r="X75" s="127"/>
      <c r="Y75" s="127"/>
      <c r="Z75" s="127"/>
      <c r="AA75" s="127"/>
      <c r="AB75" s="127"/>
      <c r="AC75" s="127"/>
      <c r="AD75" s="127"/>
      <c r="AE75" s="127"/>
      <c r="AF75" s="127"/>
      <c r="AG75" s="127"/>
      <c r="AH75" s="127"/>
      <c r="AI75" s="127"/>
      <c r="AJ75" s="127"/>
      <c r="AK75" s="127"/>
      <c r="AL75" s="127"/>
      <c r="AM75" s="127"/>
      <c r="AN75" s="127"/>
      <c r="AO75" s="127"/>
      <c r="AP75" s="127"/>
      <c r="AQ75" s="127"/>
      <c r="AR75" s="127"/>
      <c r="AS75" s="127"/>
      <c r="AT75" s="127"/>
    </row>
    <row r="76" spans="1:46" ht="19" customHeight="1" x14ac:dyDescent="0.25">
      <c r="A76" s="147"/>
      <c r="B76" s="81" t="s">
        <v>162</v>
      </c>
      <c r="C76" s="502" t="s">
        <v>179</v>
      </c>
      <c r="D76" s="510" t="str">
        <f>IF(AND(R76=1,C79="L1"),"L1","")</f>
        <v/>
      </c>
      <c r="E76" s="511"/>
      <c r="F76" s="510" t="str">
        <f>IF(AND(R76=1,C79="L2"),"L2","")</f>
        <v/>
      </c>
      <c r="G76" s="511"/>
      <c r="H76" s="510" t="str">
        <f>IF(AND(R76=1,C79="L3"),"L3","")</f>
        <v>L3</v>
      </c>
      <c r="I76" s="511"/>
      <c r="J76" s="512" t="s">
        <v>120</v>
      </c>
      <c r="K76" s="505"/>
      <c r="L76" s="127"/>
      <c r="M76" s="150"/>
      <c r="N76" s="513" t="str">
        <f>IF(Z76+AA76=0,"O K","N O !")</f>
        <v>O K</v>
      </c>
      <c r="O76" s="514"/>
      <c r="P76" s="147"/>
      <c r="Q76" s="114" t="s">
        <v>180</v>
      </c>
      <c r="R76" s="114">
        <f>IF('EU MDM-5000'!AG2&gt;0,0,1)</f>
        <v>1</v>
      </c>
      <c r="Z76" s="114">
        <f>'EU MDM-832'!W90</f>
        <v>0</v>
      </c>
      <c r="AA76" s="114">
        <f>'EU MDM-832'!W85</f>
        <v>0</v>
      </c>
      <c r="AB76" s="114">
        <f>'EU MDM-832'!W88</f>
        <v>0</v>
      </c>
      <c r="AC76" s="114">
        <f>IF(OR(J78=0,R76=0),0,AA76)</f>
        <v>0</v>
      </c>
    </row>
    <row r="77" spans="1:46" ht="19" x14ac:dyDescent="0.25">
      <c r="A77" s="147"/>
      <c r="B77" s="82" t="str">
        <f>_xlfn.TEXTJOIN("",FALSE,"MLTC + ",'Master EU'!D11,"%")</f>
        <v>MLTC + 30%</v>
      </c>
      <c r="C77" s="503"/>
      <c r="D77" s="135" t="str">
        <f>IF(AND(R76=1,C79="L1"),'EU MDM-832'!D80,"")</f>
        <v/>
      </c>
      <c r="E77" s="148" t="str">
        <f>IF(AND(R76=1,C79="L1"),'EU MDM-832'!E80,"")</f>
        <v/>
      </c>
      <c r="F77" s="135" t="str">
        <f>IF(AND(R76=1,C79="L2"),'EU MDM-832'!D80,"")</f>
        <v/>
      </c>
      <c r="G77" s="148" t="str">
        <f>IF(AND(R76=1,C79="L2"),'EU MDM-832'!E80,"")</f>
        <v/>
      </c>
      <c r="H77" s="135">
        <f>IF(AND(R76=1,C79="L3"),'EU MDM-832'!D80,"")</f>
        <v>11.44</v>
      </c>
      <c r="I77" s="148" t="str">
        <f>IF(AND(R76=1,C79="L3"),'EU MDM-832'!E80,"")</f>
        <v>A RMS</v>
      </c>
      <c r="J77" s="505"/>
      <c r="K77" s="505"/>
      <c r="L77" s="127"/>
      <c r="M77" s="129" t="str">
        <f>IF(AA76&gt;0,"Inlet Current","")</f>
        <v/>
      </c>
      <c r="N77" s="515"/>
      <c r="O77" s="516"/>
      <c r="P77" s="147"/>
      <c r="Q77" s="116">
        <f>IF(D77="",0,D77*$J$78)</f>
        <v>0</v>
      </c>
      <c r="R77" s="116">
        <f>IF(F77="",0,F77*$J$78)</f>
        <v>0</v>
      </c>
      <c r="S77" s="116">
        <f>IF(H77="",0,H77*$J$78)</f>
        <v>11.44</v>
      </c>
    </row>
    <row r="78" spans="1:46" ht="19" x14ac:dyDescent="0.25">
      <c r="A78" s="147"/>
      <c r="B78" s="82" t="s">
        <v>110</v>
      </c>
      <c r="C78" s="503"/>
      <c r="D78" s="135" t="str">
        <f>IF(AND(R76=1,C79="L1"),'EU MDM-832'!D81,"")</f>
        <v/>
      </c>
      <c r="E78" s="148" t="str">
        <f>IF(AND(R76=1,C79="L1"),'EU MDM-832'!E81,"")</f>
        <v/>
      </c>
      <c r="F78" s="135" t="str">
        <f>IF(AND(R76=1,C79="L2"),'EU MDM-832'!D81,"")</f>
        <v/>
      </c>
      <c r="G78" s="148" t="str">
        <f>IF(AND(R76=1,C79="L2"),'EU MDM-832'!E81,"")</f>
        <v/>
      </c>
      <c r="H78" s="135">
        <f>IF(AND(R76=1,C79="L3"),'EU MDM-832'!D81,"")</f>
        <v>19.2</v>
      </c>
      <c r="I78" s="148" t="str">
        <f>IF(AND(R76=1,C79="L3"),'EU MDM-832'!E81,"")</f>
        <v>A RMS</v>
      </c>
      <c r="J78" s="507">
        <v>1</v>
      </c>
      <c r="K78" s="507"/>
      <c r="L78" s="127"/>
      <c r="M78" s="129" t="str">
        <f>IF(Z76+AA76=0,"",IF(AND(Z76=1,AA76=1),"","Outlet Current"))</f>
        <v/>
      </c>
      <c r="N78" s="515"/>
      <c r="O78" s="516"/>
      <c r="P78" s="147"/>
      <c r="T78" s="116">
        <f>IF(D78="",0,D78*$J$78)</f>
        <v>0</v>
      </c>
      <c r="U78" s="116">
        <f>IF(F78="",0,F78*$J$78)</f>
        <v>0</v>
      </c>
      <c r="V78" s="116">
        <f>IF(H78="",0,H78*$J$78)</f>
        <v>19.2</v>
      </c>
    </row>
    <row r="79" spans="1:46" ht="22" x14ac:dyDescent="0.25">
      <c r="A79" s="147"/>
      <c r="B79" s="83" t="s">
        <v>111</v>
      </c>
      <c r="C79" s="155" t="s">
        <v>168</v>
      </c>
      <c r="D79" s="136" t="str">
        <f>IF(AND(R76=1,C79="L1"),'EU MDM-832'!D82,"")</f>
        <v/>
      </c>
      <c r="E79" s="149" t="str">
        <f>IF(AND(R76=1,C79="L1"),'EU MDM-832'!E82,"")</f>
        <v/>
      </c>
      <c r="F79" s="136" t="str">
        <f>IF(AND(R76=1,C79="L2"),'EU MDM-832'!D82,"")</f>
        <v/>
      </c>
      <c r="G79" s="149" t="str">
        <f>IF(AND(R76=1,C79="L2"),'EU MDM-832'!E82,"")</f>
        <v/>
      </c>
      <c r="H79" s="136">
        <f>IF(AND(R76=1,C79="L3"),'EU MDM-832'!D82,"")</f>
        <v>19.2</v>
      </c>
      <c r="I79" s="149" t="str">
        <f>IF(AND(R76=1,C79="L3"),'EU MDM-832'!E82,"")</f>
        <v>A Pk</v>
      </c>
      <c r="J79" s="507"/>
      <c r="K79" s="507"/>
      <c r="L79" s="127"/>
      <c r="M79" s="132"/>
      <c r="N79" s="517"/>
      <c r="O79" s="518"/>
      <c r="P79" s="147"/>
      <c r="W79" s="116">
        <f>IF(D79="",0,D79*$J$78)</f>
        <v>0</v>
      </c>
      <c r="X79" s="116">
        <f>IF(F79="",0,F79*$J$78)</f>
        <v>0</v>
      </c>
      <c r="Y79" s="116">
        <f>IF(H79="",0,H79*$J$78)</f>
        <v>19.2</v>
      </c>
    </row>
    <row r="80" spans="1:46" x14ac:dyDescent="0.2">
      <c r="A80" s="147"/>
      <c r="B80" s="147"/>
      <c r="C80" s="147"/>
      <c r="D80" s="147"/>
      <c r="E80" s="147"/>
      <c r="F80" s="147"/>
      <c r="G80" s="147"/>
      <c r="H80" s="147"/>
      <c r="I80" s="147"/>
      <c r="J80" s="147"/>
      <c r="K80" s="147"/>
      <c r="L80" s="147"/>
      <c r="M80" s="147"/>
      <c r="N80" s="147"/>
      <c r="O80" s="147"/>
      <c r="P80" s="147"/>
    </row>
    <row r="81" spans="1:46" s="147" customFormat="1" ht="21" x14ac:dyDescent="0.25">
      <c r="B81" s="151" t="s">
        <v>183</v>
      </c>
      <c r="C81" s="152"/>
      <c r="D81" s="152"/>
      <c r="E81" s="152"/>
      <c r="F81" s="152"/>
      <c r="G81" s="152"/>
      <c r="H81" s="152"/>
      <c r="I81" s="152"/>
      <c r="J81" s="152"/>
      <c r="K81" s="152"/>
      <c r="L81" s="152"/>
      <c r="M81" s="152"/>
      <c r="N81" s="152"/>
      <c r="O81" s="153" t="str">
        <f>IF(R82=1,"","&gt; MDM832 #4 is connected to an MDM-5000. See EU MDM-5000")</f>
        <v/>
      </c>
      <c r="Q81" s="127"/>
      <c r="R81" s="127"/>
      <c r="S81" s="127"/>
      <c r="T81" s="127"/>
      <c r="U81" s="127"/>
      <c r="V81" s="127"/>
      <c r="W81" s="127"/>
      <c r="X81" s="127"/>
      <c r="Y81" s="127"/>
      <c r="Z81" s="127"/>
      <c r="AA81" s="127"/>
      <c r="AB81" s="127"/>
      <c r="AC81" s="127"/>
      <c r="AD81" s="127"/>
      <c r="AE81" s="127"/>
      <c r="AF81" s="127"/>
      <c r="AG81" s="127"/>
      <c r="AH81" s="127"/>
      <c r="AI81" s="127"/>
      <c r="AJ81" s="127"/>
      <c r="AK81" s="127"/>
      <c r="AL81" s="127"/>
      <c r="AM81" s="127"/>
      <c r="AN81" s="127"/>
      <c r="AO81" s="127"/>
      <c r="AP81" s="127"/>
      <c r="AQ81" s="127"/>
      <c r="AR81" s="127"/>
      <c r="AS81" s="127"/>
      <c r="AT81" s="127"/>
    </row>
    <row r="82" spans="1:46" ht="19" customHeight="1" x14ac:dyDescent="0.25">
      <c r="A82" s="147"/>
      <c r="B82" s="81" t="s">
        <v>162</v>
      </c>
      <c r="C82" s="502" t="s">
        <v>179</v>
      </c>
      <c r="D82" s="510" t="str">
        <f>IF(AND(R82=1,C85="L1"),"L1","")</f>
        <v>L1</v>
      </c>
      <c r="E82" s="511"/>
      <c r="F82" s="510" t="str">
        <f>IF(AND(R82=1,C85="L2"),"L2","")</f>
        <v/>
      </c>
      <c r="G82" s="511"/>
      <c r="H82" s="510" t="str">
        <f>IF(AND(R82=1,C85="L3"),"L3","")</f>
        <v/>
      </c>
      <c r="I82" s="511"/>
      <c r="J82" s="512" t="s">
        <v>120</v>
      </c>
      <c r="K82" s="505"/>
      <c r="L82" s="127"/>
      <c r="M82" s="150"/>
      <c r="N82" s="513" t="str">
        <f>IF(Z82+AA82=0,"O K","N O !")</f>
        <v>O K</v>
      </c>
      <c r="O82" s="514"/>
      <c r="P82" s="147"/>
      <c r="Q82" s="114" t="s">
        <v>180</v>
      </c>
      <c r="R82" s="114">
        <f>IF('EU MDM-5000'!AH2&gt;0,0,1)</f>
        <v>1</v>
      </c>
      <c r="Z82" s="114">
        <f>'EU MDM-832'!W128</f>
        <v>0</v>
      </c>
      <c r="AA82" s="114">
        <f>'EU MDM-832'!W123</f>
        <v>0</v>
      </c>
      <c r="AB82" s="114">
        <f>'EU MDM-832'!W126</f>
        <v>0</v>
      </c>
      <c r="AC82" s="114">
        <f>IF(OR(J84=0,R82=0),0,AA82)</f>
        <v>0</v>
      </c>
    </row>
    <row r="83" spans="1:46" ht="19" x14ac:dyDescent="0.25">
      <c r="A83" s="147"/>
      <c r="B83" s="82" t="str">
        <f>_xlfn.TEXTJOIN("",FALSE,"MLTC + ",'Master EU'!D11,"%")</f>
        <v>MLTC + 30%</v>
      </c>
      <c r="C83" s="503"/>
      <c r="D83" s="135">
        <f>IF(AND(R82=1,C85="L1"),'EU MDM-832'!D118,"")</f>
        <v>11.44</v>
      </c>
      <c r="E83" s="148" t="str">
        <f>IF(AND(R82=1,C85="L1"),'EU MDM-832'!E118,"")</f>
        <v>A RMS</v>
      </c>
      <c r="F83" s="135" t="str">
        <f>IF(AND(R82=1,C85="L2"),'EU MDM-832'!D118,"")</f>
        <v/>
      </c>
      <c r="G83" s="148" t="str">
        <f>IF(AND(R82=1,C85="L2"),'EU MDM-832'!E118,"")</f>
        <v/>
      </c>
      <c r="H83" s="135" t="str">
        <f>IF(AND(R82=1,C85="L3"),'EU MDM-832'!D118,"")</f>
        <v/>
      </c>
      <c r="I83" s="148" t="str">
        <f>IF(AND(R82=1,C85="L3"),'EU MDM-832'!E118,"")</f>
        <v/>
      </c>
      <c r="J83" s="505"/>
      <c r="K83" s="505"/>
      <c r="L83" s="127"/>
      <c r="M83" s="129" t="str">
        <f>IF(AA82&gt;0,"Inlet Current","")</f>
        <v/>
      </c>
      <c r="N83" s="515"/>
      <c r="O83" s="516"/>
      <c r="P83" s="147"/>
      <c r="Q83" s="116">
        <f>IF(D83="",0,D83*$J$84)</f>
        <v>0</v>
      </c>
      <c r="R83" s="116">
        <f>IF(F83="",0,F83*$J$84)</f>
        <v>0</v>
      </c>
      <c r="S83" s="116">
        <f>IF(H83="",0,H83*$J$84)</f>
        <v>0</v>
      </c>
    </row>
    <row r="84" spans="1:46" ht="19" x14ac:dyDescent="0.25">
      <c r="A84" s="147"/>
      <c r="B84" s="82" t="s">
        <v>110</v>
      </c>
      <c r="C84" s="503"/>
      <c r="D84" s="135">
        <f>IF(AND(R82=1,C85="L1"),'EU MDM-832'!D119,"")</f>
        <v>19.2</v>
      </c>
      <c r="E84" s="148" t="str">
        <f>IF(AND(R82=1,C85="L1"),'EU MDM-832'!E119,"")</f>
        <v>A RMS</v>
      </c>
      <c r="F84" s="135" t="str">
        <f>IF(AND(R82=1,C85="L2"),'EU MDM-832'!D119,"")</f>
        <v/>
      </c>
      <c r="G84" s="148" t="str">
        <f>IF(AND(R82=1,C85="L2"),'EU MDM-832'!E119,"")</f>
        <v/>
      </c>
      <c r="H84" s="135" t="str">
        <f>IF(AND(R82=1,C85="L3"),'EU MDM-832'!D119,"")</f>
        <v/>
      </c>
      <c r="I84" s="148" t="str">
        <f>IF(AND(R82=1,C85="L3"),'EU MDM-832'!E119,"")</f>
        <v/>
      </c>
      <c r="J84" s="507">
        <v>0</v>
      </c>
      <c r="K84" s="507"/>
      <c r="L84" s="127"/>
      <c r="M84" s="129" t="str">
        <f>IF(Z82+AA82=0,"",IF(AND(Z82=1,AA82=1),"","Outlet Current"))</f>
        <v/>
      </c>
      <c r="N84" s="515"/>
      <c r="O84" s="516"/>
      <c r="P84" s="147"/>
      <c r="T84" s="116">
        <f>IF(D84="",0,D84*$J$84)</f>
        <v>0</v>
      </c>
      <c r="U84" s="116">
        <f>IF(F84="",0,F84*$J$84)</f>
        <v>0</v>
      </c>
      <c r="V84" s="116">
        <f>IF(H84="",0,H84*$J$84)</f>
        <v>0</v>
      </c>
    </row>
    <row r="85" spans="1:46" ht="22" x14ac:dyDescent="0.25">
      <c r="A85" s="147"/>
      <c r="B85" s="83" t="s">
        <v>111</v>
      </c>
      <c r="C85" s="155" t="s">
        <v>166</v>
      </c>
      <c r="D85" s="136">
        <f>IF(AND(R82=1,C85="L1"),'EU MDM-832'!D120,"")</f>
        <v>19.2</v>
      </c>
      <c r="E85" s="149" t="str">
        <f>IF(AND(R82=1,C85="L1"),'EU MDM-832'!E120,"")</f>
        <v>A Pk</v>
      </c>
      <c r="F85" s="136" t="str">
        <f>IF(AND(R82=1,C85="L2"),'EU MDM-832'!D120,"")</f>
        <v/>
      </c>
      <c r="G85" s="149" t="str">
        <f>IF(AND(R82=1,C85="L2"),'EU MDM-832'!E120,"")</f>
        <v/>
      </c>
      <c r="H85" s="136" t="str">
        <f>IF(AND(R82=1,C85="L3"),'EU MDM-832'!D120,"")</f>
        <v/>
      </c>
      <c r="I85" s="149" t="str">
        <f>IF(AND(R82=1,C85="L3"),'EU MDM-832'!E120,"")</f>
        <v/>
      </c>
      <c r="J85" s="507"/>
      <c r="K85" s="507"/>
      <c r="L85" s="127"/>
      <c r="M85" s="132"/>
      <c r="N85" s="517"/>
      <c r="O85" s="518"/>
      <c r="P85" s="147"/>
      <c r="W85" s="116">
        <f>IF(D85="",0,D85*$J$84)</f>
        <v>0</v>
      </c>
      <c r="X85" s="116">
        <f>IF(F85="",0,F85*$J$84)</f>
        <v>0</v>
      </c>
      <c r="Y85" s="116">
        <f>IF(H85="",0,H85*$J$84)</f>
        <v>0</v>
      </c>
    </row>
    <row r="86" spans="1:46" x14ac:dyDescent="0.2">
      <c r="A86" s="147"/>
      <c r="B86" s="147"/>
      <c r="C86" s="147"/>
      <c r="D86" s="147"/>
      <c r="E86" s="147"/>
      <c r="F86" s="147"/>
      <c r="G86" s="147"/>
      <c r="H86" s="147"/>
      <c r="I86" s="147"/>
      <c r="J86" s="147"/>
      <c r="K86" s="147"/>
      <c r="L86" s="147"/>
      <c r="M86" s="147"/>
      <c r="N86" s="147"/>
      <c r="O86" s="147"/>
      <c r="P86" s="147"/>
    </row>
    <row r="87" spans="1:46" s="147" customFormat="1" ht="21" x14ac:dyDescent="0.25">
      <c r="B87" s="151" t="s">
        <v>184</v>
      </c>
      <c r="C87" s="152"/>
      <c r="D87" s="152"/>
      <c r="E87" s="152"/>
      <c r="F87" s="152"/>
      <c r="G87" s="152"/>
      <c r="H87" s="152"/>
      <c r="I87" s="152"/>
      <c r="J87" s="152"/>
      <c r="K87" s="152"/>
      <c r="L87" s="152"/>
      <c r="M87" s="152"/>
      <c r="N87" s="152"/>
      <c r="O87" s="153" t="str">
        <f>IF(R88=1,"","&gt; MDM832 #5 is connected to an MDM-5000. See EU MDM-5000")</f>
        <v/>
      </c>
      <c r="Q87" s="127"/>
      <c r="R87" s="127"/>
      <c r="S87" s="127"/>
      <c r="T87" s="127"/>
      <c r="U87" s="127"/>
      <c r="V87" s="127"/>
      <c r="W87" s="127"/>
      <c r="X87" s="127"/>
      <c r="Y87" s="127"/>
      <c r="Z87" s="127"/>
      <c r="AA87" s="127"/>
      <c r="AB87" s="127"/>
      <c r="AC87" s="127"/>
      <c r="AD87" s="127"/>
      <c r="AE87" s="127"/>
      <c r="AF87" s="127"/>
      <c r="AG87" s="127"/>
      <c r="AH87" s="127"/>
      <c r="AI87" s="127"/>
      <c r="AJ87" s="127"/>
      <c r="AK87" s="127"/>
      <c r="AL87" s="127"/>
      <c r="AM87" s="127"/>
      <c r="AN87" s="127"/>
      <c r="AO87" s="127"/>
      <c r="AP87" s="127"/>
      <c r="AQ87" s="127"/>
      <c r="AR87" s="127"/>
      <c r="AS87" s="127"/>
      <c r="AT87" s="127"/>
    </row>
    <row r="88" spans="1:46" ht="19" customHeight="1" x14ac:dyDescent="0.25">
      <c r="A88" s="147"/>
      <c r="B88" s="81" t="s">
        <v>162</v>
      </c>
      <c r="C88" s="502" t="s">
        <v>179</v>
      </c>
      <c r="D88" s="510" t="str">
        <f>IF(AND(R88=1,C91="L1"),"L1","")</f>
        <v/>
      </c>
      <c r="E88" s="511"/>
      <c r="F88" s="510" t="str">
        <f>IF(AND(R88=1,C91="L2"),"L2","")</f>
        <v>L2</v>
      </c>
      <c r="G88" s="511"/>
      <c r="H88" s="510" t="str">
        <f>IF(AND(R88=1,C91="L3"),"L3","")</f>
        <v/>
      </c>
      <c r="I88" s="511"/>
      <c r="J88" s="512" t="s">
        <v>120</v>
      </c>
      <c r="K88" s="505"/>
      <c r="L88" s="127"/>
      <c r="M88" s="150"/>
      <c r="N88" s="513" t="str">
        <f>IF(Z88+AA88=0,"O K","N O !")</f>
        <v>O K</v>
      </c>
      <c r="O88" s="514"/>
      <c r="P88" s="147"/>
      <c r="Q88" s="114" t="s">
        <v>180</v>
      </c>
      <c r="R88" s="114">
        <f>IF('EU MDM-5000'!AI2&gt;0,0,1)</f>
        <v>1</v>
      </c>
      <c r="Z88" s="114">
        <f>'EU MDM-832'!W166</f>
        <v>0</v>
      </c>
      <c r="AA88" s="114">
        <f>'EU MDM-832'!W161</f>
        <v>0</v>
      </c>
      <c r="AB88" s="114">
        <f>'EU MDM-832'!W164</f>
        <v>0</v>
      </c>
      <c r="AC88" s="114">
        <f>IF(OR(J90=0,R88=0),0,AA88)</f>
        <v>0</v>
      </c>
    </row>
    <row r="89" spans="1:46" ht="19" x14ac:dyDescent="0.25">
      <c r="A89" s="147"/>
      <c r="B89" s="82" t="str">
        <f>_xlfn.TEXTJOIN("",FALSE,"MLTC + ",'Master EU'!D11,"%")</f>
        <v>MLTC + 30%</v>
      </c>
      <c r="C89" s="503"/>
      <c r="D89" s="135" t="str">
        <f>IF(AND(R88=1,C91="L1"),'EU MDM-832'!D156,"")</f>
        <v/>
      </c>
      <c r="E89" s="148" t="str">
        <f>IF(AND(R88=1,C91="L1"),'EU MDM-832'!E156,"")</f>
        <v/>
      </c>
      <c r="F89" s="135">
        <f>IF(AND(R88=1,C91="L2"),'EU MDM-832'!D156,"")</f>
        <v>11.44</v>
      </c>
      <c r="G89" s="148" t="str">
        <f>IF(AND(R88=1,C91="L2"),'EU MDM-832'!E156,"")</f>
        <v>A RMS</v>
      </c>
      <c r="H89" s="135" t="str">
        <f>IF(AND(R88=1,C91="L3"),'EU MDM-832'!D156,"")</f>
        <v/>
      </c>
      <c r="I89" s="148" t="str">
        <f>IF(AND(R88=1,C91="L3"),'EU MDM-832'!E156,"")</f>
        <v/>
      </c>
      <c r="J89" s="505"/>
      <c r="K89" s="505"/>
      <c r="L89" s="127"/>
      <c r="M89" s="129" t="str">
        <f>IF(AA88&gt;0,"Inlet Current","")</f>
        <v/>
      </c>
      <c r="N89" s="515"/>
      <c r="O89" s="516"/>
      <c r="P89" s="147"/>
      <c r="Q89" s="116">
        <f>IF(D89="",0,D89*$J$90)</f>
        <v>0</v>
      </c>
      <c r="R89" s="116">
        <f>IF(F89="",0,F89*$J$90)</f>
        <v>0</v>
      </c>
      <c r="S89" s="116">
        <f>IF(H89="",0,H89*$J$90)</f>
        <v>0</v>
      </c>
    </row>
    <row r="90" spans="1:46" ht="19" x14ac:dyDescent="0.25">
      <c r="A90" s="147"/>
      <c r="B90" s="82" t="s">
        <v>110</v>
      </c>
      <c r="C90" s="503"/>
      <c r="D90" s="135" t="str">
        <f>IF(AND(R88=1,C91="L1"),'EU MDM-832'!D157,"")</f>
        <v/>
      </c>
      <c r="E90" s="148" t="str">
        <f>IF(AND(R88=1,C91="L1"),'EU MDM-832'!E157,"")</f>
        <v/>
      </c>
      <c r="F90" s="135">
        <f>IF(AND(R88=1,C91="L2"),'EU MDM-832'!D157,"")</f>
        <v>19.2</v>
      </c>
      <c r="G90" s="148" t="str">
        <f>IF(AND(R88=1,C91="L2"),'EU MDM-832'!E157,"")</f>
        <v>A RMS</v>
      </c>
      <c r="H90" s="135" t="str">
        <f>IF(AND(R88=1,C91="L3"),'EU MDM-832'!D157,"")</f>
        <v/>
      </c>
      <c r="I90" s="148" t="str">
        <f>IF(AND(R88=1,C91="L3"),'EU MDM-832'!E157,"")</f>
        <v/>
      </c>
      <c r="J90" s="507">
        <v>0</v>
      </c>
      <c r="K90" s="507"/>
      <c r="L90" s="127"/>
      <c r="M90" s="129" t="str">
        <f>IF(Z88+AA88=0,"",IF(AND(Z88=1,AA88=1),"","Outlet Current"))</f>
        <v/>
      </c>
      <c r="N90" s="515"/>
      <c r="O90" s="516"/>
      <c r="P90" s="147"/>
      <c r="T90" s="116">
        <f>IF(D90="",0,D90*$J$90)</f>
        <v>0</v>
      </c>
      <c r="U90" s="116">
        <f>IF(F90="",0,F90*$J$90)</f>
        <v>0</v>
      </c>
      <c r="V90" s="116">
        <f>IF(H90="",0,H90*$J$90)</f>
        <v>0</v>
      </c>
    </row>
    <row r="91" spans="1:46" ht="22" x14ac:dyDescent="0.25">
      <c r="A91" s="147"/>
      <c r="B91" s="83" t="s">
        <v>111</v>
      </c>
      <c r="C91" s="155" t="s">
        <v>167</v>
      </c>
      <c r="D91" s="136" t="str">
        <f>IF(AND(R88=1,C91="L1"),'EU MDM-832'!D158,"")</f>
        <v/>
      </c>
      <c r="E91" s="149" t="str">
        <f>IF(AND(R88=1,C91="L1"),'EU MDM-832'!E158,"")</f>
        <v/>
      </c>
      <c r="F91" s="136">
        <f>IF(AND(R88=1,C91="L2"),'EU MDM-832'!D158,"")</f>
        <v>19.2</v>
      </c>
      <c r="G91" s="149" t="str">
        <f>IF(AND(R88=1,C91="L2"),'EU MDM-832'!E158,"")</f>
        <v>A Pk</v>
      </c>
      <c r="H91" s="136" t="str">
        <f>IF(AND(R88=1,C91="L3"),'EU MDM-832'!D158,"")</f>
        <v/>
      </c>
      <c r="I91" s="149" t="str">
        <f>IF(AND(R88=1,C91="L3"),'EU MDM-832'!E158,"")</f>
        <v/>
      </c>
      <c r="J91" s="507"/>
      <c r="K91" s="507"/>
      <c r="L91" s="127"/>
      <c r="M91" s="132"/>
      <c r="N91" s="517"/>
      <c r="O91" s="518"/>
      <c r="P91" s="147"/>
      <c r="W91" s="116">
        <f>IF(D91="",0,D91*$J$90)</f>
        <v>0</v>
      </c>
      <c r="X91" s="116">
        <f>IF(F91="",0,F91*$J$90)</f>
        <v>0</v>
      </c>
      <c r="Y91" s="116">
        <f>IF(H91="",0,H91*$J$90)</f>
        <v>0</v>
      </c>
    </row>
    <row r="92" spans="1:46" x14ac:dyDescent="0.2">
      <c r="A92" s="147"/>
      <c r="B92" s="147"/>
      <c r="C92" s="147"/>
      <c r="D92" s="147"/>
      <c r="E92" s="147"/>
      <c r="F92" s="147"/>
      <c r="G92" s="147"/>
      <c r="H92" s="147"/>
      <c r="I92" s="147"/>
      <c r="J92" s="147"/>
      <c r="K92" s="147"/>
      <c r="L92" s="147"/>
      <c r="M92" s="147"/>
      <c r="N92" s="147"/>
      <c r="O92" s="147"/>
      <c r="P92" s="147"/>
    </row>
    <row r="93" spans="1:46" s="147" customFormat="1" ht="21" x14ac:dyDescent="0.25">
      <c r="B93" s="151" t="s">
        <v>185</v>
      </c>
      <c r="C93" s="152"/>
      <c r="D93" s="152"/>
      <c r="E93" s="152"/>
      <c r="F93" s="152"/>
      <c r="G93" s="152"/>
      <c r="H93" s="152"/>
      <c r="I93" s="152"/>
      <c r="J93" s="152"/>
      <c r="K93" s="152"/>
      <c r="L93" s="152"/>
      <c r="M93" s="152"/>
      <c r="N93" s="152"/>
      <c r="O93" s="153" t="str">
        <f>IF(R94=1,"","&gt; MDM832 #6 is connected to an MDM-5000. See EU MDM-5000")</f>
        <v/>
      </c>
      <c r="Q93" s="127"/>
      <c r="R93" s="127"/>
      <c r="S93" s="12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7"/>
      <c r="AQ93" s="127"/>
      <c r="AR93" s="127"/>
      <c r="AS93" s="127"/>
      <c r="AT93" s="127"/>
    </row>
    <row r="94" spans="1:46" ht="19" customHeight="1" x14ac:dyDescent="0.25">
      <c r="A94" s="147"/>
      <c r="B94" s="81" t="s">
        <v>162</v>
      </c>
      <c r="C94" s="502" t="s">
        <v>179</v>
      </c>
      <c r="D94" s="510" t="str">
        <f>IF(AND(R94=1,C97="L1"),"L1","")</f>
        <v/>
      </c>
      <c r="E94" s="511"/>
      <c r="F94" s="510" t="str">
        <f>IF(AND(R94=1,C97="L2"),"L2","")</f>
        <v/>
      </c>
      <c r="G94" s="511"/>
      <c r="H94" s="510" t="str">
        <f>IF(AND(R94=1,C97="L3"),"L3","")</f>
        <v>L3</v>
      </c>
      <c r="I94" s="511"/>
      <c r="J94" s="512" t="s">
        <v>120</v>
      </c>
      <c r="K94" s="505"/>
      <c r="L94" s="127"/>
      <c r="M94" s="150"/>
      <c r="N94" s="513" t="str">
        <f>IF(Z94+AA94=0,"O K","N O !")</f>
        <v>O K</v>
      </c>
      <c r="O94" s="514"/>
      <c r="P94" s="147"/>
      <c r="Q94" s="114" t="s">
        <v>180</v>
      </c>
      <c r="R94" s="114">
        <f>IF('EU MDM-5000'!AJ2&gt;0,0,1)</f>
        <v>1</v>
      </c>
      <c r="Z94" s="114">
        <f>'EU MDM-832'!W204</f>
        <v>0</v>
      </c>
      <c r="AA94" s="114">
        <f>'EU MDM-832'!W199</f>
        <v>0</v>
      </c>
      <c r="AB94" s="114">
        <f>'EU MDM-832'!W202</f>
        <v>0</v>
      </c>
      <c r="AC94" s="114">
        <f>IF(OR(J96=0,R94=0),0,AA94)</f>
        <v>0</v>
      </c>
    </row>
    <row r="95" spans="1:46" ht="19" x14ac:dyDescent="0.25">
      <c r="A95" s="147"/>
      <c r="B95" s="82" t="str">
        <f>_xlfn.TEXTJOIN("",FALSE,"MLTC + ",'Master EU'!D11,"%")</f>
        <v>MLTC + 30%</v>
      </c>
      <c r="C95" s="503"/>
      <c r="D95" s="135" t="str">
        <f>IF(AND(R94=1,C97="L1"),'EU MDM-832'!D194,"")</f>
        <v/>
      </c>
      <c r="E95" s="148" t="str">
        <f>IF(AND(R94=1,C97="L1"),'EU MDM-832'!E194,"")</f>
        <v/>
      </c>
      <c r="F95" s="135" t="str">
        <f>IF(AND(R94=1,C97="L2"),'EU MDM-832'!D194,"")</f>
        <v/>
      </c>
      <c r="G95" s="148" t="str">
        <f>IF(AND(R94=1,C97="L2"),'EU MDM-832'!E194,"")</f>
        <v/>
      </c>
      <c r="H95" s="135">
        <f>IF(AND(R94=1,C97="L3"),'EU MDM-832'!D194,"")</f>
        <v>11.44</v>
      </c>
      <c r="I95" s="148" t="str">
        <f>IF(AND(R94=1,C97="L3"),'EU MDM-832'!E194,"")</f>
        <v>A RMS</v>
      </c>
      <c r="J95" s="505"/>
      <c r="K95" s="505"/>
      <c r="L95" s="127"/>
      <c r="M95" s="129" t="str">
        <f>IF(AA94&gt;0,"Inlet Current","")</f>
        <v/>
      </c>
      <c r="N95" s="515"/>
      <c r="O95" s="516"/>
      <c r="P95" s="147"/>
      <c r="Q95" s="116">
        <f>IF(D95="",0,D95*$J$96)</f>
        <v>0</v>
      </c>
      <c r="R95" s="116">
        <f>IF(F95="",0,F95*$J$96)</f>
        <v>0</v>
      </c>
      <c r="S95" s="116">
        <f>IF(H95="",0,H95*$J$96)</f>
        <v>0</v>
      </c>
    </row>
    <row r="96" spans="1:46" ht="19" x14ac:dyDescent="0.25">
      <c r="A96" s="147"/>
      <c r="B96" s="82" t="s">
        <v>110</v>
      </c>
      <c r="C96" s="503"/>
      <c r="D96" s="135" t="str">
        <f>IF(AND(R94=1,C97="L1"),'EU MDM-832'!D195,"")</f>
        <v/>
      </c>
      <c r="E96" s="148" t="str">
        <f>IF(AND(R94=1,C97="L1"),'EU MDM-832'!E195,"")</f>
        <v/>
      </c>
      <c r="F96" s="135" t="str">
        <f>IF(AND(R94=1,C97="L2"),'EU MDM-832'!D195,"")</f>
        <v/>
      </c>
      <c r="G96" s="148" t="str">
        <f>IF(AND(R94=1,C97="L2"),'EU MDM-832'!E195,"")</f>
        <v/>
      </c>
      <c r="H96" s="135">
        <f>IF(AND(R94=1,C97="L3"),'EU MDM-832'!D195,"")</f>
        <v>19.2</v>
      </c>
      <c r="I96" s="148" t="str">
        <f>IF(AND(R94=1,C97="L3"),'EU MDM-832'!E195,"")</f>
        <v>A RMS</v>
      </c>
      <c r="J96" s="507">
        <v>0</v>
      </c>
      <c r="K96" s="507"/>
      <c r="L96" s="127"/>
      <c r="M96" s="129" t="str">
        <f>IF(Z94+AA94=0,"",IF(AND(Z94=1,AA94=1),"","Outlet Current"))</f>
        <v/>
      </c>
      <c r="N96" s="515"/>
      <c r="O96" s="516"/>
      <c r="P96" s="147"/>
      <c r="T96" s="116">
        <f>IF(D96="",0,D96*$J$96)</f>
        <v>0</v>
      </c>
      <c r="U96" s="116">
        <f>IF(F96="",0,F96*$J$96)</f>
        <v>0</v>
      </c>
      <c r="V96" s="116">
        <f>IF(H96="",0,H96*$J$96)</f>
        <v>0</v>
      </c>
    </row>
    <row r="97" spans="1:25" ht="22" x14ac:dyDescent="0.25">
      <c r="A97" s="147"/>
      <c r="B97" s="83" t="s">
        <v>111</v>
      </c>
      <c r="C97" s="155" t="s">
        <v>168</v>
      </c>
      <c r="D97" s="136" t="str">
        <f>IF(AND(R94=1,C97="L1"),'EU MDM-832'!D196,"")</f>
        <v/>
      </c>
      <c r="E97" s="149" t="str">
        <f>IF(AND(R94=1,C97="L1"),'EU MDM-832'!E196,"")</f>
        <v/>
      </c>
      <c r="F97" s="136" t="str">
        <f>IF(AND(R94=1,C97="L2"),'EU MDM-832'!D196,"")</f>
        <v/>
      </c>
      <c r="G97" s="149" t="str">
        <f>IF(AND(R94=1,C97="L2"),'EU MDM-832'!E196,"")</f>
        <v/>
      </c>
      <c r="H97" s="136">
        <f>IF(AND(R94=1,C97="L3"),'EU MDM-832'!D196,"")</f>
        <v>19.2</v>
      </c>
      <c r="I97" s="149" t="str">
        <f>IF(AND(R94=1,C97="L3"),'EU MDM-832'!E196,"")</f>
        <v>A Pk</v>
      </c>
      <c r="J97" s="507"/>
      <c r="K97" s="507"/>
      <c r="L97" s="127"/>
      <c r="M97" s="132"/>
      <c r="N97" s="517"/>
      <c r="O97" s="518"/>
      <c r="P97" s="147"/>
      <c r="W97" s="116">
        <f>IF(D97="",0,D97*$J$96)</f>
        <v>0</v>
      </c>
      <c r="X97" s="116">
        <f>IF(F97="",0,F97*$J$96)</f>
        <v>0</v>
      </c>
      <c r="Y97" s="116">
        <f>IF(H97="",0,H97*$J$96)</f>
        <v>0</v>
      </c>
    </row>
    <row r="98" spans="1:25" x14ac:dyDescent="0.2">
      <c r="A98" s="147"/>
      <c r="B98" s="167" t="str">
        <f>Data!$T$1</f>
        <v>Meyer Sound Laboratories, Inc. Berkeley, California, USA                                 www.meyersound.com</v>
      </c>
      <c r="C98" s="147"/>
      <c r="D98" s="147"/>
      <c r="E98" s="147"/>
      <c r="F98" s="147"/>
      <c r="G98" s="147"/>
      <c r="H98" s="147"/>
      <c r="I98" s="147"/>
      <c r="J98" s="147"/>
      <c r="K98" s="147"/>
      <c r="L98" s="501" t="str">
        <f>Data!$G$1</f>
        <v>© 2021</v>
      </c>
      <c r="M98" s="501"/>
      <c r="N98" s="147"/>
      <c r="O98" s="170" t="str">
        <f>Data!$M$1</f>
        <v>06.257.005.01 C</v>
      </c>
      <c r="P98" s="161"/>
    </row>
    <row r="99" spans="1:25" x14ac:dyDescent="0.2">
      <c r="A99" s="147"/>
      <c r="B99" s="147"/>
      <c r="C99" s="147"/>
      <c r="D99" s="147"/>
      <c r="E99" s="147"/>
      <c r="F99" s="147"/>
      <c r="G99" s="147"/>
      <c r="H99" s="147"/>
      <c r="I99" s="147"/>
      <c r="J99" s="147"/>
      <c r="K99" s="147"/>
      <c r="L99" s="147"/>
      <c r="M99" s="147"/>
      <c r="N99" s="147"/>
      <c r="O99" s="147"/>
      <c r="P99" s="147"/>
    </row>
    <row r="100" spans="1:25" hidden="1" x14ac:dyDescent="0.2">
      <c r="A100" s="147"/>
      <c r="B100" s="147"/>
      <c r="C100" s="147"/>
      <c r="D100" s="147"/>
      <c r="E100" s="147"/>
      <c r="F100" s="147"/>
      <c r="G100" s="147"/>
      <c r="H100" s="147"/>
      <c r="I100" s="147"/>
      <c r="J100" s="147"/>
      <c r="K100" s="147"/>
      <c r="L100" s="147"/>
      <c r="M100" s="147"/>
      <c r="N100" s="147"/>
      <c r="O100" s="147"/>
      <c r="P100" s="147"/>
    </row>
    <row r="101" spans="1:25" hidden="1" x14ac:dyDescent="0.2">
      <c r="A101" s="147"/>
      <c r="B101" s="147"/>
      <c r="C101" s="147"/>
      <c r="D101" s="147"/>
      <c r="E101" s="147"/>
      <c r="F101" s="147"/>
      <c r="G101" s="147"/>
      <c r="H101" s="147"/>
      <c r="I101" s="147"/>
      <c r="J101" s="147"/>
      <c r="K101" s="147"/>
      <c r="L101" s="147"/>
      <c r="M101" s="147"/>
      <c r="N101" s="147"/>
      <c r="O101" s="147"/>
      <c r="P101" s="147"/>
    </row>
    <row r="102" spans="1:25" hidden="1" x14ac:dyDescent="0.2">
      <c r="A102" s="147"/>
      <c r="B102" s="147"/>
      <c r="C102" s="147"/>
      <c r="D102" s="147"/>
      <c r="E102" s="147"/>
      <c r="F102" s="147"/>
      <c r="G102" s="147"/>
      <c r="H102" s="147"/>
      <c r="I102" s="147"/>
      <c r="J102" s="147"/>
      <c r="K102" s="147"/>
      <c r="L102" s="147"/>
      <c r="M102" s="147"/>
      <c r="N102" s="147"/>
      <c r="O102" s="147"/>
      <c r="P102" s="147"/>
    </row>
    <row r="103" spans="1:25" hidden="1" x14ac:dyDescent="0.2">
      <c r="A103" s="147"/>
      <c r="B103" s="147"/>
      <c r="C103" s="147"/>
      <c r="D103" s="147"/>
      <c r="E103" s="147"/>
      <c r="F103" s="147"/>
      <c r="G103" s="147"/>
      <c r="H103" s="147"/>
      <c r="I103" s="147"/>
      <c r="J103" s="147"/>
      <c r="K103" s="147"/>
      <c r="L103" s="147"/>
      <c r="M103" s="147"/>
      <c r="N103" s="147"/>
      <c r="O103" s="147"/>
      <c r="P103" s="147"/>
    </row>
    <row r="104" spans="1:25" hidden="1" x14ac:dyDescent="0.2">
      <c r="A104" s="147"/>
      <c r="B104" s="147"/>
      <c r="C104" s="147"/>
      <c r="D104" s="147"/>
      <c r="E104" s="147"/>
      <c r="F104" s="147"/>
      <c r="G104" s="147"/>
      <c r="H104" s="147"/>
      <c r="I104" s="147"/>
      <c r="J104" s="147"/>
      <c r="K104" s="147"/>
      <c r="L104" s="147"/>
      <c r="M104" s="147"/>
      <c r="N104" s="147"/>
      <c r="O104" s="147"/>
      <c r="P104" s="147"/>
    </row>
  </sheetData>
  <sheetProtection algorithmName="SHA-512" hashValue="RdL4bgX4+ZAIQh2LDLGToJ6DBhRkphN8uPC/oMm0JkdOsfpO7viu87RmBnMA3kAHTyZTXaDYZ8jKpuADHbnbtA==" saltValue="D9ebAgOYyUM9GlTpC+F1+w==" spinCount="100000" sheet="1" objects="1" scenarios="1" selectLockedCells="1"/>
  <customSheetViews>
    <customSheetView guid="{638DA5E6-5C83-F34B-A013-9937D26CA5CB}" scale="74" topLeftCell="XEB1">
      <selection activeCell="Q1" sqref="Q1:XFD1048576"/>
    </customSheetView>
  </customSheetViews>
  <mergeCells count="114">
    <mergeCell ref="N94:O97"/>
    <mergeCell ref="J96:K97"/>
    <mergeCell ref="C94:C96"/>
    <mergeCell ref="D94:E94"/>
    <mergeCell ref="F94:G94"/>
    <mergeCell ref="H94:I94"/>
    <mergeCell ref="J94:K95"/>
    <mergeCell ref="N82:O85"/>
    <mergeCell ref="J84:K85"/>
    <mergeCell ref="C88:C90"/>
    <mergeCell ref="D88:E88"/>
    <mergeCell ref="F88:G88"/>
    <mergeCell ref="H88:I88"/>
    <mergeCell ref="J88:K89"/>
    <mergeCell ref="N88:O91"/>
    <mergeCell ref="J90:K91"/>
    <mergeCell ref="C82:C84"/>
    <mergeCell ref="D82:E82"/>
    <mergeCell ref="F82:G82"/>
    <mergeCell ref="H82:I82"/>
    <mergeCell ref="J82:K83"/>
    <mergeCell ref="N70:O73"/>
    <mergeCell ref="J72:K73"/>
    <mergeCell ref="C76:C78"/>
    <mergeCell ref="D76:E76"/>
    <mergeCell ref="F76:G76"/>
    <mergeCell ref="H76:I76"/>
    <mergeCell ref="J76:K77"/>
    <mergeCell ref="N76:O79"/>
    <mergeCell ref="J78:K79"/>
    <mergeCell ref="C70:C72"/>
    <mergeCell ref="D70:E70"/>
    <mergeCell ref="F70:G70"/>
    <mergeCell ref="H70:I70"/>
    <mergeCell ref="J70:K71"/>
    <mergeCell ref="B2:O2"/>
    <mergeCell ref="D4:E4"/>
    <mergeCell ref="G4:H4"/>
    <mergeCell ref="J4:K4"/>
    <mergeCell ref="D5:F5"/>
    <mergeCell ref="G5:I5"/>
    <mergeCell ref="J5:L5"/>
    <mergeCell ref="D6:E6"/>
    <mergeCell ref="G6:H6"/>
    <mergeCell ref="J6:K6"/>
    <mergeCell ref="C4:C9"/>
    <mergeCell ref="D8:E8"/>
    <mergeCell ref="G8:H8"/>
    <mergeCell ref="J8:K8"/>
    <mergeCell ref="D9:E9"/>
    <mergeCell ref="G9:H9"/>
    <mergeCell ref="J9:K9"/>
    <mergeCell ref="N5:O9"/>
    <mergeCell ref="D7:E7"/>
    <mergeCell ref="G7:H7"/>
    <mergeCell ref="J7:K7"/>
    <mergeCell ref="J11:O11"/>
    <mergeCell ref="C32:C35"/>
    <mergeCell ref="D32:E32"/>
    <mergeCell ref="F32:G32"/>
    <mergeCell ref="H32:I32"/>
    <mergeCell ref="K14:O15"/>
    <mergeCell ref="F14:J15"/>
    <mergeCell ref="B14:E15"/>
    <mergeCell ref="N32:O35"/>
    <mergeCell ref="J34:K35"/>
    <mergeCell ref="J32:K33"/>
    <mergeCell ref="H11:I11"/>
    <mergeCell ref="C37:C40"/>
    <mergeCell ref="D37:E37"/>
    <mergeCell ref="F37:G37"/>
    <mergeCell ref="C42:C45"/>
    <mergeCell ref="D42:E42"/>
    <mergeCell ref="F47:G47"/>
    <mergeCell ref="F42:G42"/>
    <mergeCell ref="F11:G11"/>
    <mergeCell ref="B11:C11"/>
    <mergeCell ref="N42:O45"/>
    <mergeCell ref="N47:O50"/>
    <mergeCell ref="C57:C60"/>
    <mergeCell ref="D57:E57"/>
    <mergeCell ref="F57:G57"/>
    <mergeCell ref="H57:I57"/>
    <mergeCell ref="C52:C55"/>
    <mergeCell ref="D52:E52"/>
    <mergeCell ref="F52:G52"/>
    <mergeCell ref="H52:I52"/>
    <mergeCell ref="H47:I47"/>
    <mergeCell ref="C47:C50"/>
    <mergeCell ref="D47:E47"/>
    <mergeCell ref="L98:M98"/>
    <mergeCell ref="C64:C66"/>
    <mergeCell ref="J52:K53"/>
    <mergeCell ref="J59:K60"/>
    <mergeCell ref="N4:O4"/>
    <mergeCell ref="D64:E64"/>
    <mergeCell ref="F64:G64"/>
    <mergeCell ref="H64:I64"/>
    <mergeCell ref="J64:K65"/>
    <mergeCell ref="N64:O67"/>
    <mergeCell ref="J66:K67"/>
    <mergeCell ref="N52:O55"/>
    <mergeCell ref="N57:O60"/>
    <mergeCell ref="H37:I37"/>
    <mergeCell ref="J57:K58"/>
    <mergeCell ref="J39:K40"/>
    <mergeCell ref="H42:I42"/>
    <mergeCell ref="J37:K38"/>
    <mergeCell ref="J42:K43"/>
    <mergeCell ref="J47:K48"/>
    <mergeCell ref="J44:K45"/>
    <mergeCell ref="J49:K50"/>
    <mergeCell ref="J54:K55"/>
    <mergeCell ref="N37:O40"/>
  </mergeCells>
  <phoneticPr fontId="5" type="noConversion"/>
  <conditionalFormatting sqref="J11:O11">
    <cfRule type="expression" dxfId="220" priority="33">
      <formula>$Z$11=0</formula>
    </cfRule>
    <cfRule type="expression" dxfId="219" priority="34">
      <formula>$Z$11&gt;0</formula>
    </cfRule>
  </conditionalFormatting>
  <conditionalFormatting sqref="N32:O35">
    <cfRule type="expression" dxfId="218" priority="31">
      <formula>$Z32=0</formula>
    </cfRule>
    <cfRule type="expression" dxfId="217" priority="32">
      <formula>$Z32&gt;0</formula>
    </cfRule>
  </conditionalFormatting>
  <conditionalFormatting sqref="N42:O45 N37:O40">
    <cfRule type="expression" dxfId="216" priority="27">
      <formula>$Z37=0</formula>
    </cfRule>
    <cfRule type="expression" dxfId="215" priority="28">
      <formula>$Z37&gt;0</formula>
    </cfRule>
  </conditionalFormatting>
  <conditionalFormatting sqref="N47:O50">
    <cfRule type="expression" dxfId="214" priority="25">
      <formula>$Z47=0</formula>
    </cfRule>
    <cfRule type="expression" dxfId="213" priority="26">
      <formula>$Z47&gt;0</formula>
    </cfRule>
  </conditionalFormatting>
  <conditionalFormatting sqref="N52:O55">
    <cfRule type="expression" dxfId="212" priority="23">
      <formula>$Z52=0</formula>
    </cfRule>
    <cfRule type="expression" dxfId="211" priority="24">
      <formula>$Z52&gt;0</formula>
    </cfRule>
  </conditionalFormatting>
  <conditionalFormatting sqref="N57:O60">
    <cfRule type="expression" dxfId="210" priority="21">
      <formula>$Z57=0</formula>
    </cfRule>
    <cfRule type="expression" dxfId="209" priority="22">
      <formula>$Z57&gt;0</formula>
    </cfRule>
  </conditionalFormatting>
  <conditionalFormatting sqref="N64:O67">
    <cfRule type="expression" dxfId="208" priority="19">
      <formula>$Z64=0</formula>
    </cfRule>
    <cfRule type="expression" dxfId="207" priority="20">
      <formula>$Z64&gt;0</formula>
    </cfRule>
  </conditionalFormatting>
  <conditionalFormatting sqref="B64:O64 B66:O67 C65:O65">
    <cfRule type="expression" dxfId="206" priority="18">
      <formula>$R$64=0</formula>
    </cfRule>
  </conditionalFormatting>
  <conditionalFormatting sqref="N70:O73">
    <cfRule type="expression" dxfId="205" priority="14">
      <formula>$Z70=0</formula>
    </cfRule>
    <cfRule type="expression" dxfId="204" priority="15">
      <formula>$Z70&gt;0</formula>
    </cfRule>
  </conditionalFormatting>
  <conditionalFormatting sqref="B70:O70 B72:O73 C71:O71">
    <cfRule type="expression" dxfId="203" priority="13">
      <formula>$R$70=0</formula>
    </cfRule>
  </conditionalFormatting>
  <conditionalFormatting sqref="N76:O79">
    <cfRule type="expression" dxfId="202" priority="11">
      <formula>$Z76=0</formula>
    </cfRule>
    <cfRule type="expression" dxfId="201" priority="12">
      <formula>$Z76&gt;0</formula>
    </cfRule>
  </conditionalFormatting>
  <conditionalFormatting sqref="B76:O76 B78:O79 C77:O77">
    <cfRule type="expression" dxfId="200" priority="10">
      <formula>$R$76=0</formula>
    </cfRule>
  </conditionalFormatting>
  <conditionalFormatting sqref="N82:O85">
    <cfRule type="expression" dxfId="199" priority="8">
      <formula>$Z82=0</formula>
    </cfRule>
    <cfRule type="expression" dxfId="198" priority="9">
      <formula>$Z82&gt;0</formula>
    </cfRule>
  </conditionalFormatting>
  <conditionalFormatting sqref="B82:O82 B84:O85 C83:O83">
    <cfRule type="expression" dxfId="197" priority="7">
      <formula>$R$82=0</formula>
    </cfRule>
  </conditionalFormatting>
  <conditionalFormatting sqref="N88:O91">
    <cfRule type="expression" dxfId="196" priority="5">
      <formula>$Z88=0</formula>
    </cfRule>
    <cfRule type="expression" dxfId="195" priority="6">
      <formula>$Z88&gt;0</formula>
    </cfRule>
  </conditionalFormatting>
  <conditionalFormatting sqref="B88:O88 B90:O91 C89:O89">
    <cfRule type="expression" dxfId="194" priority="4">
      <formula>$R$88=0</formula>
    </cfRule>
  </conditionalFormatting>
  <conditionalFormatting sqref="N94:O97">
    <cfRule type="expression" dxfId="193" priority="2">
      <formula>$Z94=0</formula>
    </cfRule>
    <cfRule type="expression" dxfId="192" priority="3">
      <formula>$Z94&gt;0</formula>
    </cfRule>
  </conditionalFormatting>
  <conditionalFormatting sqref="B94:O94 B96:O97 C95:O95">
    <cfRule type="expression" dxfId="191" priority="1">
      <formula>$R$94=0</formula>
    </cfRule>
  </conditionalFormatting>
  <dataValidations count="6">
    <dataValidation type="whole" allowBlank="1" showInputMessage="1" showErrorMessage="1" sqref="J4:K4 G4:H4 D4:E4" xr:uid="{00000000-0002-0000-0500-000000000000}">
      <formula1>210</formula1>
      <formula2>250</formula2>
    </dataValidation>
    <dataValidation type="whole" allowBlank="1" showInputMessage="1" showErrorMessage="1" sqref="J59:K60 J54:K55 J49:K50 J44:K45 J39:K40 J66:K67 J72:K73 J78:K79 J84:K85 J90:K91 J96:K97" xr:uid="{00000000-0002-0000-0500-000001000000}">
      <formula1>0</formula1>
      <formula2>100</formula2>
    </dataValidation>
    <dataValidation type="whole" operator="greaterThanOrEqual" allowBlank="1" showInputMessage="1" showErrorMessage="1" sqref="J34:K35" xr:uid="{00000000-0002-0000-0500-000002000000}">
      <formula1>0</formula1>
    </dataValidation>
    <dataValidation type="list" allowBlank="1" showInputMessage="1" showErrorMessage="1" sqref="C73 C97 C91 C85 C79" xr:uid="{00000000-0002-0000-0500-000003000000}">
      <formula1>$AE$26:$AE$29</formula1>
    </dataValidation>
    <dataValidation type="whole" allowBlank="1" showErrorMessage="1" errorTitle="Line Voltage" error="Line Voltage for European version must be between 210 Volts and 250 Volts" sqref="N5:O9" xr:uid="{00000000-0002-0000-0500-000004000000}">
      <formula1>210</formula1>
      <formula2>250</formula2>
    </dataValidation>
    <dataValidation type="whole" allowBlank="1" showInputMessage="1" showErrorMessage="1" sqref="D11" xr:uid="{B947F04C-CDC3-9C48-8B4C-CF1114ECAE4A}">
      <formula1>0</formula1>
      <formula2>50</formula2>
    </dataValidation>
  </dataValidations>
  <printOptions horizontalCentered="1" verticalCentered="1"/>
  <pageMargins left="0.23129251700680273" right="0.25" top="0.63" bottom="0.96598639455782309" header="0.30000000000000004" footer="0.15000000000000002"/>
  <pageSetup scale="72" orientation="landscape" horizontalDpi="4294967292" verticalDpi="4294967292"/>
  <headerFooter>
    <oddFooter>&amp;L_x000D__x000D__x000D__x000D_        &amp;G</oddFooter>
  </headerFooter>
  <rowBreaks count="3" manualBreakCount="3">
    <brk id="30" max="16383" man="1"/>
    <brk id="62" max="16383" man="1"/>
    <brk id="98" max="16383" man="1"/>
  </rowBreaks>
  <colBreaks count="1" manualBreakCount="1">
    <brk id="16" max="1048575" man="1"/>
  </colBreaks>
  <drawing r:id="rId1"/>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5000000}">
          <x14:formula1>
            <xm:f>Data!$AE$34:$AE$37</xm:f>
          </x14:formula1>
          <xm:sqref>C67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theme="0" tint="-0.249977111117893"/>
  </sheetPr>
  <dimension ref="A1:AL222"/>
  <sheetViews>
    <sheetView showGridLines="0" workbookViewId="0">
      <selection activeCell="E10" sqref="E10"/>
    </sheetView>
  </sheetViews>
  <sheetFormatPr baseColWidth="10" defaultColWidth="0" defaultRowHeight="16" zeroHeight="1" x14ac:dyDescent="0.2"/>
  <cols>
    <col min="1" max="1" width="2.83203125" customWidth="1"/>
    <col min="2" max="2" width="15" customWidth="1"/>
    <col min="3" max="3" width="3" customWidth="1"/>
    <col min="4" max="4" width="9.33203125" customWidth="1"/>
    <col min="5" max="5" width="7.33203125" customWidth="1"/>
    <col min="6" max="6" width="9.33203125" customWidth="1"/>
    <col min="7" max="7" width="7.33203125" customWidth="1"/>
    <col min="8" max="8" width="9.33203125" customWidth="1"/>
    <col min="9" max="9" width="7.33203125" customWidth="1"/>
    <col min="10" max="10" width="9.33203125" customWidth="1"/>
    <col min="11" max="11" width="7.33203125" customWidth="1"/>
    <col min="12" max="12" width="9.33203125" customWidth="1"/>
    <col min="13" max="13" width="7.33203125" customWidth="1"/>
    <col min="14" max="14" width="9.33203125" customWidth="1"/>
    <col min="15" max="15" width="7.33203125" customWidth="1"/>
    <col min="16" max="16" width="2.83203125" customWidth="1"/>
    <col min="17" max="38" width="10.83203125" style="109" hidden="1" customWidth="1"/>
    <col min="39" max="16384" width="10.83203125" hidden="1"/>
  </cols>
  <sheetData>
    <row r="1" spans="1:36" customFormat="1" x14ac:dyDescent="0.2">
      <c r="A1" s="1"/>
      <c r="B1" s="1"/>
      <c r="C1" s="1"/>
      <c r="D1" s="1"/>
      <c r="E1" s="1"/>
      <c r="F1" s="1"/>
      <c r="G1" s="1"/>
      <c r="H1" s="1"/>
      <c r="I1" s="1"/>
      <c r="J1" s="1"/>
      <c r="K1" s="1"/>
      <c r="L1" s="1"/>
      <c r="M1" s="1"/>
      <c r="N1" s="1"/>
      <c r="O1" s="162" t="str">
        <f>Data!$M$1</f>
        <v>06.257.005.01 C</v>
      </c>
      <c r="P1" s="1"/>
      <c r="Q1" s="109"/>
      <c r="R1" s="109"/>
      <c r="S1" s="109"/>
      <c r="V1" s="109"/>
      <c r="W1" s="109"/>
      <c r="AD1" s="109"/>
      <c r="AE1" s="112" t="s">
        <v>186</v>
      </c>
      <c r="AF1" s="112" t="s">
        <v>187</v>
      </c>
      <c r="AG1" s="112" t="s">
        <v>188</v>
      </c>
      <c r="AH1" s="112" t="s">
        <v>189</v>
      </c>
      <c r="AI1" s="112" t="s">
        <v>190</v>
      </c>
      <c r="AJ1" s="112" t="s">
        <v>191</v>
      </c>
    </row>
    <row r="2" spans="1:36" customFormat="1" x14ac:dyDescent="0.2">
      <c r="A2" s="1"/>
      <c r="B2" s="10" t="s">
        <v>192</v>
      </c>
      <c r="C2" s="1"/>
      <c r="D2" s="11" t="s">
        <v>166</v>
      </c>
      <c r="E2" s="138">
        <f>'Master EU'!$D$4</f>
        <v>230</v>
      </c>
      <c r="F2" s="137" t="s">
        <v>167</v>
      </c>
      <c r="G2" s="138">
        <f>'Master EU'!$G$4</f>
        <v>230</v>
      </c>
      <c r="H2" s="11" t="s">
        <v>168</v>
      </c>
      <c r="I2" s="332">
        <f>'Master EU'!$J$4</f>
        <v>230</v>
      </c>
      <c r="J2" s="570" t="s">
        <v>193</v>
      </c>
      <c r="K2" s="570"/>
      <c r="L2" s="335" t="s">
        <v>194</v>
      </c>
      <c r="M2" s="27"/>
      <c r="N2" s="31">
        <v>2.5</v>
      </c>
      <c r="O2" s="30" t="s">
        <v>107</v>
      </c>
      <c r="P2" s="1"/>
      <c r="Q2" s="109"/>
      <c r="R2" s="109"/>
      <c r="S2" s="109"/>
      <c r="V2" s="109"/>
      <c r="W2" s="109"/>
      <c r="AD2" t="s">
        <v>195</v>
      </c>
      <c r="AE2">
        <f t="shared" ref="AE2:AJ2" si="0">SUM(AE5:AE222)</f>
        <v>0</v>
      </c>
      <c r="AF2">
        <f t="shared" si="0"/>
        <v>0</v>
      </c>
      <c r="AG2">
        <f t="shared" si="0"/>
        <v>0</v>
      </c>
      <c r="AH2">
        <f t="shared" si="0"/>
        <v>0</v>
      </c>
      <c r="AI2">
        <f t="shared" si="0"/>
        <v>0</v>
      </c>
      <c r="AJ2">
        <f t="shared" si="0"/>
        <v>0</v>
      </c>
    </row>
    <row r="3" spans="1:36" customFormat="1" ht="5" customHeight="1" x14ac:dyDescent="0.25">
      <c r="A3" s="1"/>
      <c r="B3" s="2"/>
      <c r="C3" s="1"/>
      <c r="D3" s="5"/>
      <c r="E3" s="40">
        <v>230</v>
      </c>
      <c r="F3" s="5"/>
      <c r="G3" s="40"/>
      <c r="H3" s="5"/>
      <c r="I3" s="8"/>
      <c r="J3" s="400">
        <f>(((D5)*E2)/1000)+(((F5)*G2)/1000)+(((H5)*I2)/1000)</f>
        <v>25.737000000000002</v>
      </c>
      <c r="K3" s="400" t="s">
        <v>196</v>
      </c>
      <c r="L3" s="1"/>
      <c r="M3" s="1"/>
      <c r="N3" s="1"/>
      <c r="O3" s="1"/>
      <c r="P3" s="1"/>
      <c r="Q3" s="109"/>
      <c r="R3" s="109"/>
      <c r="S3" s="109"/>
      <c r="V3" s="109"/>
      <c r="W3" s="109"/>
    </row>
    <row r="4" spans="1:36" customFormat="1" ht="16" customHeight="1" x14ac:dyDescent="0.2">
      <c r="A4" s="1"/>
      <c r="B4" s="23" t="str">
        <f>_xlfn.TEXTJOIN("",FALSE,"MLTC + ",'Master EU'!D11,"%")</f>
        <v>MLTC + 30%</v>
      </c>
      <c r="C4" s="1"/>
      <c r="D4" s="25">
        <f>(D14+J14)*(1+('Master EU'!D11/100))</f>
        <v>31.121999999999996</v>
      </c>
      <c r="E4" s="41" t="str">
        <f>IF(D4&gt;Data!$AC$6,"&lt;OVER!","A RMS")</f>
        <v>A RMS</v>
      </c>
      <c r="F4" s="25">
        <f>(F14+L14)*(1+('Master EU'!D11/100))</f>
        <v>31.121999999999996</v>
      </c>
      <c r="G4" s="41" t="str">
        <f>IF(F4&gt;Data!$AC$6,"&lt;OVER!","A RMS")</f>
        <v>A RMS</v>
      </c>
      <c r="H4" s="25">
        <f>(H14+N14)*(1+('Master EU'!D11/100))</f>
        <v>31.121999999999996</v>
      </c>
      <c r="I4" s="333" t="str">
        <f>IF(H4&gt;Data!$AC$6,"&lt;OVER!","A RMS")</f>
        <v>A RMS</v>
      </c>
      <c r="J4" s="550" t="s">
        <v>197</v>
      </c>
      <c r="K4" s="551"/>
      <c r="L4" s="552"/>
      <c r="M4" s="562" t="str">
        <f>IF('EU MDM-5000'!S10&gt;0,"N O !","O K")</f>
        <v>O K</v>
      </c>
      <c r="N4" s="563"/>
      <c r="O4" s="568">
        <v>1</v>
      </c>
      <c r="P4" s="569"/>
      <c r="Q4" s="109"/>
      <c r="R4" s="109" t="s">
        <v>198</v>
      </c>
      <c r="S4" s="109"/>
      <c r="V4" s="109"/>
      <c r="W4" s="109"/>
    </row>
    <row r="5" spans="1:36" customFormat="1" ht="15" customHeight="1" x14ac:dyDescent="0.2">
      <c r="A5" s="1"/>
      <c r="B5" s="23" t="s">
        <v>199</v>
      </c>
      <c r="C5" s="1"/>
      <c r="D5" s="25">
        <f>D15+J15</f>
        <v>37.299999999999997</v>
      </c>
      <c r="E5" s="41" t="s">
        <v>116</v>
      </c>
      <c r="F5" s="25">
        <f>F15+L15</f>
        <v>37.299999999999997</v>
      </c>
      <c r="G5" s="41" t="s">
        <v>116</v>
      </c>
      <c r="H5" s="25">
        <f>H15+N15</f>
        <v>37.299999999999997</v>
      </c>
      <c r="I5" s="333" t="s">
        <v>116</v>
      </c>
      <c r="J5" s="551"/>
      <c r="K5" s="551"/>
      <c r="L5" s="552"/>
      <c r="M5" s="564"/>
      <c r="N5" s="565"/>
      <c r="O5" s="568"/>
      <c r="P5" s="569"/>
      <c r="Q5" s="109"/>
      <c r="R5" s="109" t="s">
        <v>162</v>
      </c>
      <c r="S5" s="109">
        <f>IF(OR('EU MDM-5000'!D4&gt;Data!$AC$6,'EU MDM-5000'!F4&gt;Data!$AC$6,'EU MDM-5000'!H4&gt;Data!$AC$6),1,0)</f>
        <v>0</v>
      </c>
      <c r="V5" s="109"/>
      <c r="W5" s="109"/>
    </row>
    <row r="6" spans="1:36" customFormat="1" ht="15" customHeight="1" x14ac:dyDescent="0.2">
      <c r="A6" s="1"/>
      <c r="B6" s="24" t="s">
        <v>200</v>
      </c>
      <c r="C6" s="1"/>
      <c r="D6" s="26">
        <f>D16+J16</f>
        <v>75</v>
      </c>
      <c r="E6" s="42" t="s">
        <v>117</v>
      </c>
      <c r="F6" s="26">
        <f>F16+L16</f>
        <v>75</v>
      </c>
      <c r="G6" s="42" t="s">
        <v>117</v>
      </c>
      <c r="H6" s="26">
        <f>H16+N16</f>
        <v>75</v>
      </c>
      <c r="I6" s="334" t="s">
        <v>117</v>
      </c>
      <c r="J6" s="551"/>
      <c r="K6" s="551"/>
      <c r="L6" s="552"/>
      <c r="M6" s="566"/>
      <c r="N6" s="567"/>
      <c r="O6" s="568"/>
      <c r="P6" s="569"/>
      <c r="Q6" s="109"/>
      <c r="R6" s="109" t="s">
        <v>201</v>
      </c>
      <c r="S6" s="109">
        <f>IF(OR('EU MDM-5000'!D14&gt;Data!$AC$7,'EU MDM-5000'!F14&gt;Data!$AC$7,'EU MDM-5000'!H14&gt;Data!$AC$7,'EU MDM-5000'!J14&gt;Data!$AC$7,'EU MDM-5000'!L14&gt;Data!$AC$7,'EU MDM-5000'!N14&gt;Data!$AC$7),1,0)</f>
        <v>0</v>
      </c>
      <c r="V6" s="109"/>
      <c r="W6" s="109"/>
    </row>
    <row r="7" spans="1:36" customFormat="1" ht="8" customHeight="1" thickBot="1" x14ac:dyDescent="0.25">
      <c r="A7" s="1"/>
      <c r="B7" s="1"/>
      <c r="C7" s="1"/>
      <c r="D7" s="1"/>
      <c r="E7" s="1"/>
      <c r="F7" s="1"/>
      <c r="G7" s="1"/>
      <c r="H7" s="1"/>
      <c r="I7" s="1"/>
      <c r="J7" s="1"/>
      <c r="K7" s="1"/>
      <c r="L7" s="1"/>
      <c r="M7" s="1"/>
      <c r="N7" s="1"/>
      <c r="O7" s="1"/>
      <c r="P7" s="1"/>
      <c r="Q7" s="109"/>
      <c r="R7" s="109" t="s">
        <v>202</v>
      </c>
      <c r="S7" s="109">
        <f>IF(OR('EU MDM-5000'!D16&gt;Data!$AC$8,'EU MDM-5000'!F16&gt;Data!$AC$8,'EU MDM-5000'!H16&gt;Data!$AC$8,'EU MDM-5000'!J16&gt;Data!$AC$8,'EU MDM-5000'!L16&gt;Data!$AC$8,'EU MDM-5000'!N16&gt;Data!$AC$8),1,0)</f>
        <v>0</v>
      </c>
      <c r="V7" s="109"/>
      <c r="W7" s="109"/>
    </row>
    <row r="8" spans="1:36" customFormat="1" x14ac:dyDescent="0.2">
      <c r="A8" s="1"/>
      <c r="B8" s="10" t="s">
        <v>203</v>
      </c>
      <c r="C8" s="1"/>
      <c r="D8" s="560">
        <v>1</v>
      </c>
      <c r="E8" s="561"/>
      <c r="F8" s="553">
        <v>2</v>
      </c>
      <c r="G8" s="561"/>
      <c r="H8" s="553">
        <v>3</v>
      </c>
      <c r="I8" s="561"/>
      <c r="J8" s="553">
        <v>4</v>
      </c>
      <c r="K8" s="561"/>
      <c r="L8" s="553">
        <v>5</v>
      </c>
      <c r="M8" s="561"/>
      <c r="N8" s="553">
        <v>6</v>
      </c>
      <c r="O8" s="554"/>
      <c r="P8" s="1"/>
      <c r="Q8" s="109"/>
      <c r="R8" s="109" t="s">
        <v>204</v>
      </c>
      <c r="S8" s="109">
        <f>IF(OR('EU MDM-5000'!D22&gt;Data!$AC$13,'EU MDM-5000'!F22&gt;Data!$AC$13,'EU MDM-5000'!H22&gt;Data!$AC$13,'EU MDM-5000'!J22&gt;Data!$AC$13,'EU MDM-5000'!L22&gt;Data!$AC$13,'EU MDM-5000'!N22&gt;Data!$AC$13),1,0)</f>
        <v>0</v>
      </c>
      <c r="V8" s="109"/>
      <c r="W8" s="109"/>
    </row>
    <row r="9" spans="1:36" customFormat="1" x14ac:dyDescent="0.2">
      <c r="A9" s="1"/>
      <c r="B9" s="23" t="s">
        <v>205</v>
      </c>
      <c r="C9" s="1"/>
      <c r="D9" s="32" t="s">
        <v>206</v>
      </c>
      <c r="E9" s="33">
        <v>9</v>
      </c>
      <c r="F9" s="34" t="s">
        <v>206</v>
      </c>
      <c r="G9" s="33">
        <v>9</v>
      </c>
      <c r="H9" s="34" t="s">
        <v>206</v>
      </c>
      <c r="I9" s="33">
        <v>9</v>
      </c>
      <c r="J9" s="34" t="s">
        <v>207</v>
      </c>
      <c r="K9" s="33">
        <v>5</v>
      </c>
      <c r="L9" s="34" t="s">
        <v>207</v>
      </c>
      <c r="M9" s="33">
        <v>5</v>
      </c>
      <c r="N9" s="34" t="s">
        <v>207</v>
      </c>
      <c r="O9" s="35">
        <v>5</v>
      </c>
      <c r="P9" s="1"/>
      <c r="Q9" s="109"/>
      <c r="R9" s="109"/>
      <c r="S9" s="109"/>
      <c r="U9" s="109"/>
      <c r="V9" s="109"/>
      <c r="W9" s="109"/>
    </row>
    <row r="10" spans="1:36" customFormat="1" x14ac:dyDescent="0.2">
      <c r="A10" s="1"/>
      <c r="B10" s="23" t="s">
        <v>205</v>
      </c>
      <c r="C10" s="1"/>
      <c r="D10" s="36" t="s">
        <v>127</v>
      </c>
      <c r="E10" s="33">
        <v>0</v>
      </c>
      <c r="F10" s="37" t="s">
        <v>127</v>
      </c>
      <c r="G10" s="33">
        <v>0</v>
      </c>
      <c r="H10" s="37" t="s">
        <v>127</v>
      </c>
      <c r="I10" s="33">
        <v>0</v>
      </c>
      <c r="J10" s="37" t="s">
        <v>127</v>
      </c>
      <c r="K10" s="33">
        <v>0</v>
      </c>
      <c r="L10" s="37" t="s">
        <v>127</v>
      </c>
      <c r="M10" s="33">
        <v>0</v>
      </c>
      <c r="N10" s="37" t="s">
        <v>127</v>
      </c>
      <c r="O10" s="35">
        <v>0</v>
      </c>
      <c r="P10" s="1"/>
      <c r="Q10" s="109"/>
      <c r="R10" s="109" t="s">
        <v>208</v>
      </c>
      <c r="S10" s="109">
        <f>SUM(S5:S8)</f>
        <v>0</v>
      </c>
      <c r="V10" s="109"/>
      <c r="W10" s="109"/>
      <c r="AE10">
        <f>IF(OR(AND($D9=AE$1,$E9&gt;0),AND($F9=AE$1,$G9&gt;0),AND($H9=AE$1,$I9&gt;0),AND($J9=AE$1,$K9&gt;0),AND($L9=AE$1,$M9&gt;0),AND($N9=AE$1,$O9&gt;0)),1,0)</f>
        <v>0</v>
      </c>
      <c r="AF10">
        <f t="shared" ref="AF10:AJ11" si="1">IF(OR(AND($D9=AF$1,$E9&gt;0),AND($F9=AF$1,$G9&gt;0),AND($H9=AF$1,$I9&gt;0),AND($J9=AF$1,$K9&gt;0),AND($L9=AF$1,$M9&gt;0),AND($N9=AF$1,$O9&gt;0)),1,0)</f>
        <v>0</v>
      </c>
      <c r="AG10">
        <f t="shared" si="1"/>
        <v>0</v>
      </c>
      <c r="AH10">
        <f t="shared" si="1"/>
        <v>0</v>
      </c>
      <c r="AI10">
        <f t="shared" si="1"/>
        <v>0</v>
      </c>
      <c r="AJ10">
        <f t="shared" si="1"/>
        <v>0</v>
      </c>
    </row>
    <row r="11" spans="1:36" customFormat="1" x14ac:dyDescent="0.2">
      <c r="A11" s="1"/>
      <c r="B11" s="23" t="s">
        <v>121</v>
      </c>
      <c r="C11" s="1"/>
      <c r="D11" s="38">
        <v>30</v>
      </c>
      <c r="E11" s="29" t="s">
        <v>209</v>
      </c>
      <c r="F11" s="39">
        <v>30</v>
      </c>
      <c r="G11" s="29" t="s">
        <v>209</v>
      </c>
      <c r="H11" s="39">
        <v>30</v>
      </c>
      <c r="I11" s="29" t="s">
        <v>209</v>
      </c>
      <c r="J11" s="39">
        <v>30</v>
      </c>
      <c r="K11" s="29" t="s">
        <v>209</v>
      </c>
      <c r="L11" s="39">
        <v>30</v>
      </c>
      <c r="M11" s="29" t="s">
        <v>209</v>
      </c>
      <c r="N11" s="39">
        <v>30</v>
      </c>
      <c r="O11" s="28" t="s">
        <v>209</v>
      </c>
      <c r="P11" s="1"/>
      <c r="Q11" s="109"/>
      <c r="R11" s="109"/>
      <c r="S11" s="109"/>
      <c r="AE11">
        <f>IF(OR(AND($D10=AE$1,$E10&gt;0),AND($F10=AE$1,$G10&gt;0),AND($H10=AE$1,$I10&gt;0),AND($J10=AE$1,$K10&gt;0),AND($L10=AE$1,$M10&gt;0),AND($N10=AE$1,$O10&gt;0)),1,0)</f>
        <v>0</v>
      </c>
      <c r="AF11">
        <f t="shared" si="1"/>
        <v>0</v>
      </c>
      <c r="AG11">
        <f t="shared" si="1"/>
        <v>0</v>
      </c>
      <c r="AH11">
        <f t="shared" si="1"/>
        <v>0</v>
      </c>
      <c r="AI11">
        <f t="shared" si="1"/>
        <v>0</v>
      </c>
      <c r="AJ11">
        <f t="shared" si="1"/>
        <v>0</v>
      </c>
    </row>
    <row r="12" spans="1:36" customFormat="1" ht="11" customHeight="1" x14ac:dyDescent="0.2">
      <c r="A12" s="1"/>
      <c r="B12" s="2"/>
      <c r="C12" s="1"/>
      <c r="D12" s="555" t="s">
        <v>210</v>
      </c>
      <c r="E12" s="556"/>
      <c r="F12" s="556"/>
      <c r="G12" s="556"/>
      <c r="H12" s="556"/>
      <c r="I12" s="556"/>
      <c r="J12" s="557" t="s">
        <v>210</v>
      </c>
      <c r="K12" s="556"/>
      <c r="L12" s="556"/>
      <c r="M12" s="556"/>
      <c r="N12" s="556"/>
      <c r="O12" s="558"/>
      <c r="P12" s="1"/>
      <c r="Q12" s="109"/>
      <c r="R12" s="109"/>
      <c r="S12" s="109"/>
    </row>
    <row r="13" spans="1:36" customFormat="1" ht="6" customHeight="1" x14ac:dyDescent="0.2">
      <c r="A13" s="1"/>
      <c r="B13" s="2"/>
      <c r="C13" s="1"/>
      <c r="D13" s="3"/>
      <c r="E13" s="4"/>
      <c r="F13" s="5"/>
      <c r="G13" s="4"/>
      <c r="H13" s="5"/>
      <c r="I13" s="4"/>
      <c r="J13" s="5"/>
      <c r="K13" s="4"/>
      <c r="L13" s="5"/>
      <c r="M13" s="4"/>
      <c r="N13" s="5"/>
      <c r="O13" s="6"/>
      <c r="P13" s="1"/>
      <c r="Q13" s="109"/>
      <c r="R13" s="109"/>
      <c r="S13" s="109"/>
    </row>
    <row r="14" spans="1:36" customFormat="1" x14ac:dyDescent="0.2">
      <c r="A14" s="1"/>
      <c r="B14" s="23" t="s">
        <v>211</v>
      </c>
      <c r="C14" s="1"/>
      <c r="D14" s="12">
        <f>(((VLOOKUP($D9,Data!$R$4:$U$69,2,FALSE)*$E9)+(VLOOKUP($D10,Data!$R$4:$U$114,2,FALSE)*$E10))/E2)*Data!$R$3</f>
        <v>10.44</v>
      </c>
      <c r="E14" s="13" t="str">
        <f>IF(D14&gt;Data!$AC$7,"&lt;OVER!","A RMS")</f>
        <v>A RMS</v>
      </c>
      <c r="F14" s="14">
        <f>(((VLOOKUP($F9,Data!$R$4:$U$69,2,FALSE)*$G9)+(VLOOKUP($F10,Data!$R$4:$U$69,2,FALSE)*$G10))/G2)*Data!$R$3</f>
        <v>10.44</v>
      </c>
      <c r="G14" s="13" t="str">
        <f>IF(F14&gt;Data!$AC$7,"&lt;OVER!","A RMS")</f>
        <v>A RMS</v>
      </c>
      <c r="H14" s="14">
        <f>(((VLOOKUP($H9,Data!$R$4:$U$69,2,FALSE)*$I9)+(VLOOKUP($H10,Data!$R$4:$U$69,2,FALSE)*$I10))/I2)*Data!$R$3</f>
        <v>10.44</v>
      </c>
      <c r="I14" s="13" t="str">
        <f>IF(H14&gt;Data!$AC$7,"&lt;OVER!","A RMS")</f>
        <v>A RMS</v>
      </c>
      <c r="J14" s="14">
        <f>(((VLOOKUP($J9,Data!$R$4:$U$69,2,FALSE)*$K9)+(VLOOKUP($J10,Data!$R$4:$U$114,2,FALSE)*$K10))/E2)*Data!$R$3</f>
        <v>13.5</v>
      </c>
      <c r="K14" s="13" t="str">
        <f>IF(J14&gt;Data!$AC$7,"&lt;OVER!","A RMS")</f>
        <v>A RMS</v>
      </c>
      <c r="L14" s="14">
        <f>(((VLOOKUP($L9,Data!$R$4:$U$69,2,FALSE)*$M9)+(VLOOKUP($L10,Data!$R$4:$U$69,2,FALSE)*$M10))/G2)*Data!$R$3</f>
        <v>13.5</v>
      </c>
      <c r="M14" s="13" t="str">
        <f>IF(L14&gt;Data!$AC$7,"&lt;OVER!","A RMS")</f>
        <v>A RMS</v>
      </c>
      <c r="N14" s="14">
        <f>(((VLOOKUP($N9,Data!$R$4:$U$69,2,FALSE)*$O9)+(VLOOKUP($N10,Data!$R$4:$U$69,2,FALSE)*$O10))/I2)*Data!$R$3</f>
        <v>13.5</v>
      </c>
      <c r="O14" s="15" t="str">
        <f>IF(N14&gt;Data!$AC$7,"&lt;OVER!","A RMS")</f>
        <v>A RMS</v>
      </c>
      <c r="P14" s="1"/>
      <c r="Q14" s="109"/>
      <c r="R14" s="109"/>
      <c r="S14" s="109"/>
    </row>
    <row r="15" spans="1:36" customFormat="1" x14ac:dyDescent="0.2">
      <c r="A15" s="1"/>
      <c r="B15" s="23" t="s">
        <v>199</v>
      </c>
      <c r="C15" s="1"/>
      <c r="D15" s="12">
        <f>(((VLOOKUP($D9,Data!$R$4:$U$69,3,FALSE)*$E9)+(VLOOKUP($D10,Data!$R$4:$U$69,3,FALSE)*$E10))/E2)*Data!$R$3</f>
        <v>15.3</v>
      </c>
      <c r="E15" s="13" t="s">
        <v>116</v>
      </c>
      <c r="F15" s="14">
        <f>(((VLOOKUP($F9,Data!$R$4:$U$69,3,FALSE)*$G9)+(VLOOKUP($F10,Data!$R$4:$U$69,3,FALSE)*$G10))/G2)*Data!$R$3</f>
        <v>15.3</v>
      </c>
      <c r="G15" s="13" t="s">
        <v>116</v>
      </c>
      <c r="H15" s="14">
        <f>(((VLOOKUP($H9,Data!$R$4:$U$69,3,FALSE)*$I9)+(VLOOKUP($H10,Data!$R$4:$U$69,3,FALSE)*$I10))/I2)*Data!$R$3</f>
        <v>15.3</v>
      </c>
      <c r="I15" s="13" t="s">
        <v>116</v>
      </c>
      <c r="J15" s="14">
        <f>(((VLOOKUP($J9,Data!$R$4:$U$69,3,FALSE)*$K9)+(VLOOKUP($J10,Data!$R$4:$U$69,3,FALSE)*$K10))/E2)*Data!$R$3</f>
        <v>22</v>
      </c>
      <c r="K15" s="13" t="s">
        <v>116</v>
      </c>
      <c r="L15" s="14">
        <f>(((VLOOKUP($L9,Data!$R$4:$U$69,3,FALSE)*$M9)+(VLOOKUP($L10,Data!$R$4:$U$69,3,FALSE)*$M10))/G2)*Data!$R$3</f>
        <v>22</v>
      </c>
      <c r="M15" s="13" t="s">
        <v>116</v>
      </c>
      <c r="N15" s="14">
        <f>(((VLOOKUP($N9,Data!$R$4:$U$69,3,FALSE)*$O9)+(VLOOKUP($N10,Data!$R$4:$U$69,3,FALSE)*$O10))/I2)*Data!$R$3</f>
        <v>22</v>
      </c>
      <c r="O15" s="15" t="s">
        <v>116</v>
      </c>
      <c r="P15" s="1"/>
      <c r="Q15" s="109"/>
      <c r="R15" s="109"/>
      <c r="S15" s="109"/>
    </row>
    <row r="16" spans="1:36" customFormat="1" x14ac:dyDescent="0.2">
      <c r="A16" s="1"/>
      <c r="B16" s="23" t="s">
        <v>200</v>
      </c>
      <c r="C16" s="1"/>
      <c r="D16" s="12">
        <f>(((VLOOKUP($D9,Data!$R$4:$U$69,4,FALSE)*$E9)+(VLOOKUP($D10,Data!$R$4:$U$69,4,FALSE)*$E10))/E2)*Data!$R$3</f>
        <v>36</v>
      </c>
      <c r="E16" s="13" t="str">
        <f>IF(D16&gt;Data!$AC$8,"&lt;OVER!","A Pk")</f>
        <v>A Pk</v>
      </c>
      <c r="F16" s="14">
        <f>(((VLOOKUP($F9,Data!$R$4:$U$69,4,FALSE)*$G9)+(VLOOKUP($F10,Data!$R$4:$U$69,4,FALSE)*$G10))/G2)*Data!$R$3</f>
        <v>36</v>
      </c>
      <c r="G16" s="13" t="str">
        <f>IF(F16&gt;Data!$AC$8,"&lt;OVER!","A Pk")</f>
        <v>A Pk</v>
      </c>
      <c r="H16" s="14">
        <f>(((VLOOKUP($H9,Data!$R$4:$U$69,4,FALSE)*$I9)+(VLOOKUP($H10,Data!$R$4:$U$69,4,FALSE)*$I10))/I2)*Data!$R$3</f>
        <v>36</v>
      </c>
      <c r="I16" s="13" t="str">
        <f>IF(H16&gt;Data!$AC$8,"&lt;OVER!","A Pk")</f>
        <v>A Pk</v>
      </c>
      <c r="J16" s="14">
        <f>(((VLOOKUP($J9,Data!$R$4:$U$69,4,FALSE)*$K9)+(VLOOKUP($J10,Data!$R$4:$U$69,4,FALSE)*$K10))/E2)*Data!$R$3</f>
        <v>39</v>
      </c>
      <c r="K16" s="13" t="str">
        <f>IF(J16&gt;Data!$AC$8,"&lt;OVER!","A Pk")</f>
        <v>A Pk</v>
      </c>
      <c r="L16" s="14">
        <f>(((VLOOKUP($L9,Data!$R$4:$U$69,4,FALSE)*$M9)+(VLOOKUP($L10,Data!$R$4:$U$69,4,FALSE)*$M10))/G2)*Data!$R$3</f>
        <v>39</v>
      </c>
      <c r="M16" s="13" t="str">
        <f>IF(L16&gt;Data!$AC$8,"&lt;OVER!","A Pk")</f>
        <v>A Pk</v>
      </c>
      <c r="N16" s="14">
        <f>(((VLOOKUP($N9,Data!$R$4:$U$69,4,FALSE)*$O9)+(VLOOKUP($N10,Data!$R$4:$U$69,4,FALSE)*$O10))/I2)*Data!$R$3</f>
        <v>39</v>
      </c>
      <c r="O16" s="15" t="str">
        <f>IF(N16&gt;Data!$AC$8,"&lt;OVER!","A Pk")</f>
        <v>A Pk</v>
      </c>
      <c r="P16" s="1"/>
      <c r="Q16" s="109"/>
      <c r="R16" s="109"/>
      <c r="S16" s="109"/>
    </row>
    <row r="17" spans="1:30" customFormat="1" ht="6" customHeight="1" x14ac:dyDescent="0.2">
      <c r="A17" s="1"/>
      <c r="B17" s="23"/>
      <c r="C17" s="1"/>
      <c r="D17" s="12"/>
      <c r="E17" s="16"/>
      <c r="F17" s="14"/>
      <c r="G17" s="16"/>
      <c r="H17" s="14"/>
      <c r="I17" s="16"/>
      <c r="J17" s="14"/>
      <c r="K17" s="16"/>
      <c r="L17" s="14"/>
      <c r="M17" s="16"/>
      <c r="N17" s="14"/>
      <c r="O17" s="15"/>
      <c r="P17" s="1"/>
      <c r="Q17" s="109"/>
      <c r="R17" s="109"/>
      <c r="S17" s="109"/>
      <c r="T17" s="109"/>
      <c r="U17" s="109"/>
      <c r="V17" s="109"/>
      <c r="W17" s="109"/>
      <c r="X17" s="109"/>
      <c r="Y17" s="109"/>
      <c r="Z17" s="109"/>
      <c r="AA17" s="109"/>
      <c r="AB17" s="109"/>
      <c r="AC17" s="109"/>
      <c r="AD17" s="109"/>
    </row>
    <row r="18" spans="1:30" customFormat="1" x14ac:dyDescent="0.2">
      <c r="A18" s="1"/>
      <c r="B18" s="23" t="s">
        <v>212</v>
      </c>
      <c r="C18" s="1"/>
      <c r="D18" s="17">
        <f>(17*(10^-8))*((2*D11)/($N$2*(10^-5)))</f>
        <v>0.40800000000000003</v>
      </c>
      <c r="E18" s="16" t="s">
        <v>213</v>
      </c>
      <c r="F18" s="18">
        <f>(17*(10^-8))*((2*F11)/($N$2*(10^-5)))</f>
        <v>0.40800000000000003</v>
      </c>
      <c r="G18" s="16" t="s">
        <v>213</v>
      </c>
      <c r="H18" s="18">
        <f>(17*(10^-8))*((2*H11)/($N$2*(10^-5)))</f>
        <v>0.40800000000000003</v>
      </c>
      <c r="I18" s="16" t="s">
        <v>213</v>
      </c>
      <c r="J18" s="18">
        <f>(17*(10^-8))*((2*J11)/($N$2*(10^-5)))</f>
        <v>0.40800000000000003</v>
      </c>
      <c r="K18" s="16" t="s">
        <v>213</v>
      </c>
      <c r="L18" s="18">
        <f>(17*(10^-8))*((2*L11)/($N$2*(10^-5)))</f>
        <v>0.40800000000000003</v>
      </c>
      <c r="M18" s="16" t="s">
        <v>213</v>
      </c>
      <c r="N18" s="18">
        <f>(17*(10^-8))*((2*N11)/($N$2*(10^-5)))</f>
        <v>0.40800000000000003</v>
      </c>
      <c r="O18" s="15" t="s">
        <v>213</v>
      </c>
      <c r="P18" s="1"/>
      <c r="Q18" s="109"/>
      <c r="R18" s="109"/>
      <c r="S18" s="109"/>
      <c r="T18" s="109"/>
      <c r="U18" s="109"/>
      <c r="V18" s="109"/>
      <c r="W18" s="109"/>
      <c r="X18" s="109"/>
      <c r="Y18" s="109"/>
      <c r="Z18" s="109"/>
      <c r="AA18" s="109"/>
      <c r="AB18" s="109"/>
      <c r="AC18" s="109"/>
      <c r="AD18" s="109"/>
    </row>
    <row r="19" spans="1:30" customFormat="1" x14ac:dyDescent="0.2">
      <c r="A19" s="1"/>
      <c r="B19" s="23" t="s">
        <v>214</v>
      </c>
      <c r="C19" s="1"/>
      <c r="D19" s="19">
        <f>E2*SQRT(2)</f>
        <v>325.26911934581187</v>
      </c>
      <c r="E19" s="16" t="s">
        <v>215</v>
      </c>
      <c r="F19" s="20">
        <f>G2*SQRT(2)</f>
        <v>325.26911934581187</v>
      </c>
      <c r="G19" s="16" t="s">
        <v>215</v>
      </c>
      <c r="H19" s="20">
        <f>I2*SQRT(2)</f>
        <v>325.26911934581187</v>
      </c>
      <c r="I19" s="16" t="s">
        <v>215</v>
      </c>
      <c r="J19" s="20">
        <f>E2*SQRT(2)</f>
        <v>325.26911934581187</v>
      </c>
      <c r="K19" s="16" t="s">
        <v>215</v>
      </c>
      <c r="L19" s="20">
        <f>G2*SQRT(2)</f>
        <v>325.26911934581187</v>
      </c>
      <c r="M19" s="16" t="s">
        <v>215</v>
      </c>
      <c r="N19" s="20">
        <f>I2*SQRT(2)</f>
        <v>325.26911934581187</v>
      </c>
      <c r="O19" s="15" t="s">
        <v>215</v>
      </c>
      <c r="P19" s="1"/>
      <c r="Q19" s="559" t="s">
        <v>216</v>
      </c>
      <c r="R19" s="109"/>
      <c r="S19" s="111"/>
      <c r="T19" s="112" t="s">
        <v>166</v>
      </c>
      <c r="U19" s="112" t="s">
        <v>167</v>
      </c>
      <c r="V19" s="112" t="s">
        <v>168</v>
      </c>
      <c r="W19" s="112"/>
      <c r="X19" s="111"/>
      <c r="Y19" s="112" t="s">
        <v>217</v>
      </c>
      <c r="Z19" s="112" t="s">
        <v>218</v>
      </c>
      <c r="AA19" s="112" t="s">
        <v>219</v>
      </c>
      <c r="AB19" s="112" t="s">
        <v>220</v>
      </c>
      <c r="AC19" s="112" t="s">
        <v>221</v>
      </c>
      <c r="AD19" s="112" t="s">
        <v>222</v>
      </c>
    </row>
    <row r="20" spans="1:30" customFormat="1" x14ac:dyDescent="0.2">
      <c r="A20" s="1"/>
      <c r="B20" s="23" t="s">
        <v>223</v>
      </c>
      <c r="C20" s="1"/>
      <c r="D20" s="12">
        <f>D16*D18</f>
        <v>14.688000000000001</v>
      </c>
      <c r="E20" s="16" t="s">
        <v>215</v>
      </c>
      <c r="F20" s="14">
        <f>F16*F18</f>
        <v>14.688000000000001</v>
      </c>
      <c r="G20" s="16" t="s">
        <v>215</v>
      </c>
      <c r="H20" s="14">
        <f>H16*H18</f>
        <v>14.688000000000001</v>
      </c>
      <c r="I20" s="16" t="s">
        <v>215</v>
      </c>
      <c r="J20" s="14">
        <f>J16*J18</f>
        <v>15.912000000000001</v>
      </c>
      <c r="K20" s="16" t="s">
        <v>215</v>
      </c>
      <c r="L20" s="14">
        <f>L16*L18</f>
        <v>15.912000000000001</v>
      </c>
      <c r="M20" s="16" t="s">
        <v>215</v>
      </c>
      <c r="N20" s="14">
        <f>N16*N18</f>
        <v>15.912000000000001</v>
      </c>
      <c r="O20" s="15" t="s">
        <v>215</v>
      </c>
      <c r="P20" s="1"/>
      <c r="Q20" s="559"/>
      <c r="R20" s="109"/>
      <c r="S20" s="111" t="s">
        <v>224</v>
      </c>
      <c r="T20" s="112">
        <f>Data!$AC$6</f>
        <v>32</v>
      </c>
      <c r="U20" s="112">
        <f>Data!$AC$6</f>
        <v>32</v>
      </c>
      <c r="V20" s="112">
        <f>Data!$AC$6</f>
        <v>32</v>
      </c>
      <c r="W20" s="112"/>
      <c r="X20" s="111" t="s">
        <v>224</v>
      </c>
      <c r="Y20" s="112">
        <f>Data!$AC$7</f>
        <v>16</v>
      </c>
      <c r="Z20" s="112">
        <f>Data!$AC$7</f>
        <v>16</v>
      </c>
      <c r="AA20" s="112">
        <f>Data!$AC$7</f>
        <v>16</v>
      </c>
      <c r="AB20" s="112">
        <f>Data!$AC$7</f>
        <v>16</v>
      </c>
      <c r="AC20" s="112">
        <f>Data!$AC$7</f>
        <v>16</v>
      </c>
      <c r="AD20" s="112">
        <f>Data!$AC$7</f>
        <v>16</v>
      </c>
    </row>
    <row r="21" spans="1:30" customFormat="1" x14ac:dyDescent="0.2">
      <c r="A21" s="1"/>
      <c r="B21" s="23" t="s">
        <v>225</v>
      </c>
      <c r="C21" s="1"/>
      <c r="D21" s="19">
        <f>D19-D20</f>
        <v>310.58111934581189</v>
      </c>
      <c r="E21" s="16" t="s">
        <v>215</v>
      </c>
      <c r="F21" s="20">
        <f>F19-F20</f>
        <v>310.58111934581189</v>
      </c>
      <c r="G21" s="16" t="s">
        <v>215</v>
      </c>
      <c r="H21" s="20">
        <f>H19-H20</f>
        <v>310.58111934581189</v>
      </c>
      <c r="I21" s="16" t="s">
        <v>215</v>
      </c>
      <c r="J21" s="20">
        <f>J19-J20</f>
        <v>309.3571193458119</v>
      </c>
      <c r="K21" s="16" t="s">
        <v>215</v>
      </c>
      <c r="L21" s="20">
        <f>L19-L20</f>
        <v>309.3571193458119</v>
      </c>
      <c r="M21" s="16" t="s">
        <v>215</v>
      </c>
      <c r="N21" s="20">
        <f>N19-N20</f>
        <v>309.3571193458119</v>
      </c>
      <c r="O21" s="15" t="s">
        <v>215</v>
      </c>
      <c r="P21" s="1"/>
      <c r="Q21" s="559"/>
      <c r="R21" s="109"/>
      <c r="S21" s="111"/>
      <c r="T21" s="112"/>
      <c r="U21" s="112"/>
      <c r="V21" s="112"/>
      <c r="W21" s="112"/>
      <c r="X21" s="111" t="s">
        <v>226</v>
      </c>
      <c r="Y21" s="112">
        <f>Data!$AC$8</f>
        <v>80</v>
      </c>
      <c r="Z21" s="112">
        <f>Data!$AC$8</f>
        <v>80</v>
      </c>
      <c r="AA21" s="112">
        <f>Data!$AC$8</f>
        <v>80</v>
      </c>
      <c r="AB21" s="112">
        <f>Data!$AC$8</f>
        <v>80</v>
      </c>
      <c r="AC21" s="112">
        <f>Data!$AC$8</f>
        <v>80</v>
      </c>
      <c r="AD21" s="112">
        <f>Data!$AC$8</f>
        <v>80</v>
      </c>
    </row>
    <row r="22" spans="1:30" customFormat="1" ht="17" thickBot="1" x14ac:dyDescent="0.25">
      <c r="A22" s="1"/>
      <c r="B22" s="24" t="s">
        <v>227</v>
      </c>
      <c r="C22" s="1"/>
      <c r="D22" s="141">
        <f>(D20*100)/D19</f>
        <v>4.5156453922034823</v>
      </c>
      <c r="E22" s="21" t="str">
        <f>IF(D22&gt;Data!$AC$13,"&lt;OVER!","% V Pk")</f>
        <v>% V Pk</v>
      </c>
      <c r="F22" s="142">
        <f>(F20*100)/F19</f>
        <v>4.5156453922034823</v>
      </c>
      <c r="G22" s="21" t="str">
        <f>IF(F22&gt;Data!$AC$13,"&lt;OVER!","% V Pk")</f>
        <v>% V Pk</v>
      </c>
      <c r="H22" s="142">
        <f>(H20*100)/H19</f>
        <v>4.5156453922034823</v>
      </c>
      <c r="I22" s="21" t="str">
        <f>IF(H22&gt;Data!$AC$13,"&lt;OVER!","% V Pk")</f>
        <v>% V Pk</v>
      </c>
      <c r="J22" s="142">
        <f>(J20*100)/J19</f>
        <v>4.891949174887106</v>
      </c>
      <c r="K22" s="21" t="str">
        <f>IF(J22&gt;Data!$AC$13,"&lt;OVER!","% V Pk")</f>
        <v>% V Pk</v>
      </c>
      <c r="L22" s="142">
        <f>(L20*100)/L19</f>
        <v>4.891949174887106</v>
      </c>
      <c r="M22" s="21" t="str">
        <f>IF(L22&gt;Data!$AC$13,"&lt;OVER!","% V Pk")</f>
        <v>% V Pk</v>
      </c>
      <c r="N22" s="142">
        <f>(N20*100)/N19</f>
        <v>4.891949174887106</v>
      </c>
      <c r="O22" s="22" t="str">
        <f>IF(N22&gt;Data!$AC$13,"&lt;OVER!","% V Pk")</f>
        <v>% V Pk</v>
      </c>
      <c r="P22" s="1"/>
      <c r="Q22" s="559"/>
      <c r="R22" s="109"/>
      <c r="S22" s="111" t="str">
        <f>'EU MDM-5000'!B4</f>
        <v>MLTC + 30%</v>
      </c>
      <c r="T22" s="112">
        <f>'EU MDM-5000'!D4</f>
        <v>31.121999999999996</v>
      </c>
      <c r="U22" s="112">
        <f>'EU MDM-5000'!F4</f>
        <v>31.121999999999996</v>
      </c>
      <c r="V22" s="112">
        <f>'EU MDM-5000'!H4</f>
        <v>31.121999999999996</v>
      </c>
      <c r="W22" s="112"/>
      <c r="X22" s="111" t="str">
        <f>'EU MDM-5000'!B4</f>
        <v>MLTC + 30%</v>
      </c>
      <c r="Y22" s="112">
        <f>'EU MDM-5000'!D14</f>
        <v>10.44</v>
      </c>
      <c r="Z22" s="112">
        <f>'EU MDM-5000'!F14</f>
        <v>10.44</v>
      </c>
      <c r="AA22" s="112">
        <f>'EU MDM-5000'!H14</f>
        <v>10.44</v>
      </c>
      <c r="AB22" s="112">
        <f>'EU MDM-5000'!J14</f>
        <v>13.5</v>
      </c>
      <c r="AC22" s="112">
        <f>'EU MDM-5000'!L14</f>
        <v>13.5</v>
      </c>
      <c r="AD22" s="112">
        <f>'EU MDM-5000'!N14</f>
        <v>13.5</v>
      </c>
    </row>
    <row r="23" spans="1:30" customFormat="1" x14ac:dyDescent="0.2">
      <c r="A23" s="1"/>
      <c r="B23" s="1"/>
      <c r="C23" s="1"/>
      <c r="D23" s="1"/>
      <c r="E23" s="1"/>
      <c r="F23" s="1"/>
      <c r="G23" s="1"/>
      <c r="H23" s="1"/>
      <c r="I23" s="1"/>
      <c r="J23" s="1"/>
      <c r="K23" s="1"/>
      <c r="L23" s="1"/>
      <c r="M23" s="1"/>
      <c r="N23" s="1"/>
      <c r="O23" s="1"/>
      <c r="P23" s="1"/>
      <c r="Q23" s="559"/>
      <c r="R23" s="109"/>
      <c r="S23" s="111" t="str">
        <f>'EU MDM-5000'!B5</f>
        <v>Burst RMS</v>
      </c>
      <c r="T23" s="112">
        <f>'EU MDM-5000'!D5</f>
        <v>37.299999999999997</v>
      </c>
      <c r="U23" s="112">
        <f>'EU MDM-5000'!F5</f>
        <v>37.299999999999997</v>
      </c>
      <c r="V23" s="112">
        <f>'EU MDM-5000'!H5</f>
        <v>37.299999999999997</v>
      </c>
      <c r="W23" s="112"/>
      <c r="X23" s="111" t="str">
        <f>'EU MDM-5000'!B5</f>
        <v>Burst RMS</v>
      </c>
      <c r="Y23" s="112">
        <f>'EU MDM-5000'!D15</f>
        <v>15.3</v>
      </c>
      <c r="Z23" s="112">
        <f>'EU MDM-5000'!F15</f>
        <v>15.3</v>
      </c>
      <c r="AA23" s="112">
        <f>'EU MDM-5000'!H15</f>
        <v>15.3</v>
      </c>
      <c r="AB23" s="112">
        <f>'EU MDM-5000'!J15</f>
        <v>22</v>
      </c>
      <c r="AC23" s="112">
        <f>'EU MDM-5000'!L15</f>
        <v>22</v>
      </c>
      <c r="AD23" s="112">
        <f>'EU MDM-5000'!N15</f>
        <v>22</v>
      </c>
    </row>
    <row r="24" spans="1:30" customFormat="1" x14ac:dyDescent="0.2">
      <c r="A24" s="1"/>
      <c r="B24" s="1"/>
      <c r="C24" s="1"/>
      <c r="D24" s="1"/>
      <c r="E24" s="1"/>
      <c r="F24" s="1"/>
      <c r="G24" s="1"/>
      <c r="H24" s="1"/>
      <c r="I24" s="1"/>
      <c r="J24" s="1"/>
      <c r="K24" s="1"/>
      <c r="L24" s="1"/>
      <c r="M24" s="1"/>
      <c r="N24" s="1"/>
      <c r="O24" s="1"/>
      <c r="P24" s="1"/>
      <c r="Q24" s="559"/>
      <c r="R24" s="109"/>
      <c r="S24" s="111" t="str">
        <f>'EU MDM-5000'!B6</f>
        <v>Max Inst Pk</v>
      </c>
      <c r="T24" s="112">
        <f>'EU MDM-5000'!D6</f>
        <v>75</v>
      </c>
      <c r="U24" s="112">
        <f>'EU MDM-5000'!F6</f>
        <v>75</v>
      </c>
      <c r="V24" s="112">
        <f>'EU MDM-5000'!H6</f>
        <v>75</v>
      </c>
      <c r="W24" s="112"/>
      <c r="X24" s="111" t="str">
        <f>'EU MDM-5000'!B6</f>
        <v>Max Inst Pk</v>
      </c>
      <c r="Y24" s="112">
        <f>'EU MDM-5000'!D16</f>
        <v>36</v>
      </c>
      <c r="Z24" s="112">
        <f>'EU MDM-5000'!F16</f>
        <v>36</v>
      </c>
      <c r="AA24" s="112">
        <f>'EU MDM-5000'!H16</f>
        <v>36</v>
      </c>
      <c r="AB24" s="112">
        <f>'EU MDM-5000'!J16</f>
        <v>39</v>
      </c>
      <c r="AC24" s="112">
        <f>'EU MDM-5000'!L16</f>
        <v>39</v>
      </c>
      <c r="AD24" s="112">
        <f>'EU MDM-5000'!N16</f>
        <v>39</v>
      </c>
    </row>
    <row r="25" spans="1:30" customFormat="1" x14ac:dyDescent="0.2">
      <c r="A25" s="1"/>
      <c r="B25" s="1"/>
      <c r="C25" s="1"/>
      <c r="D25" s="1"/>
      <c r="E25" s="1"/>
      <c r="F25" s="1"/>
      <c r="G25" s="1"/>
      <c r="H25" s="1"/>
      <c r="I25" s="1"/>
      <c r="J25" s="1"/>
      <c r="K25" s="1"/>
      <c r="L25" s="1"/>
      <c r="M25" s="1"/>
      <c r="N25" s="1"/>
      <c r="O25" s="1"/>
      <c r="P25" s="1"/>
      <c r="Q25" s="559"/>
      <c r="R25" s="109"/>
      <c r="S25" s="111"/>
      <c r="T25" s="112"/>
      <c r="U25" s="112"/>
      <c r="V25" s="112"/>
      <c r="W25" s="112"/>
      <c r="X25" s="111"/>
      <c r="Y25" s="112"/>
      <c r="Z25" s="112"/>
      <c r="AA25" s="112"/>
      <c r="AB25" s="112"/>
      <c r="AC25" s="112"/>
      <c r="AD25" s="112"/>
    </row>
    <row r="26" spans="1:30" customFormat="1" x14ac:dyDescent="0.2">
      <c r="A26" s="1"/>
      <c r="B26" s="1"/>
      <c r="C26" s="1"/>
      <c r="D26" s="1"/>
      <c r="E26" s="1"/>
      <c r="F26" s="1"/>
      <c r="G26" s="1"/>
      <c r="H26" s="1"/>
      <c r="I26" s="1"/>
      <c r="J26" s="1"/>
      <c r="K26" s="1"/>
      <c r="L26" s="1"/>
      <c r="M26" s="1"/>
      <c r="N26" s="1"/>
      <c r="O26" s="1"/>
      <c r="P26" s="1"/>
      <c r="Q26" s="559"/>
      <c r="R26" s="109"/>
      <c r="S26" s="111"/>
      <c r="T26" s="112"/>
      <c r="U26" s="112"/>
      <c r="V26" s="112"/>
      <c r="W26" s="112"/>
      <c r="X26" s="111"/>
      <c r="Y26" s="112"/>
      <c r="Z26" s="112"/>
      <c r="AA26" s="112"/>
      <c r="AB26" s="112"/>
      <c r="AC26" s="112"/>
      <c r="AD26" s="112"/>
    </row>
    <row r="27" spans="1:30" customFormat="1" x14ac:dyDescent="0.2">
      <c r="A27" s="1"/>
      <c r="B27" s="1"/>
      <c r="C27" s="1"/>
      <c r="D27" s="1"/>
      <c r="E27" s="1"/>
      <c r="F27" s="1"/>
      <c r="G27" s="1"/>
      <c r="H27" s="1"/>
      <c r="I27" s="1"/>
      <c r="J27" s="1"/>
      <c r="K27" s="1"/>
      <c r="L27" s="1"/>
      <c r="M27" s="1"/>
      <c r="N27" s="1"/>
      <c r="O27" s="1"/>
      <c r="P27" s="1"/>
      <c r="Q27" s="559"/>
      <c r="R27" s="109"/>
      <c r="S27" s="111" t="s">
        <v>228</v>
      </c>
      <c r="T27" s="112">
        <f>(100*T22)/T20</f>
        <v>97.256249999999994</v>
      </c>
      <c r="U27" s="112">
        <f>(100*U22)/U20</f>
        <v>97.256249999999994</v>
      </c>
      <c r="V27" s="112">
        <f>(100*V22)/V20</f>
        <v>97.256249999999994</v>
      </c>
      <c r="W27" s="112"/>
      <c r="X27" s="111" t="s">
        <v>228</v>
      </c>
      <c r="Y27" s="112">
        <f t="shared" ref="Y27:AD27" si="2">(100*Y22)/Y20</f>
        <v>65.25</v>
      </c>
      <c r="Z27" s="112">
        <f t="shared" si="2"/>
        <v>65.25</v>
      </c>
      <c r="AA27" s="112">
        <f t="shared" si="2"/>
        <v>65.25</v>
      </c>
      <c r="AB27" s="112">
        <f t="shared" si="2"/>
        <v>84.375</v>
      </c>
      <c r="AC27" s="112">
        <f t="shared" si="2"/>
        <v>84.375</v>
      </c>
      <c r="AD27" s="112">
        <f t="shared" si="2"/>
        <v>84.375</v>
      </c>
    </row>
    <row r="28" spans="1:30" customFormat="1" x14ac:dyDescent="0.2">
      <c r="A28" s="1"/>
      <c r="B28" s="1"/>
      <c r="C28" s="1"/>
      <c r="D28" s="1"/>
      <c r="E28" s="1"/>
      <c r="F28" s="1"/>
      <c r="G28" s="1"/>
      <c r="H28" s="1"/>
      <c r="I28" s="1"/>
      <c r="J28" s="1"/>
      <c r="K28" s="1"/>
      <c r="L28" s="1"/>
      <c r="M28" s="1"/>
      <c r="N28" s="1"/>
      <c r="O28" s="1"/>
      <c r="P28" s="1"/>
      <c r="Q28" s="559"/>
      <c r="R28" s="109"/>
      <c r="S28" s="111" t="s">
        <v>229</v>
      </c>
      <c r="T28" s="112">
        <f>T27-100</f>
        <v>-2.7437500000000057</v>
      </c>
      <c r="U28" s="112">
        <f>U27-100</f>
        <v>-2.7437500000000057</v>
      </c>
      <c r="V28" s="112">
        <f>V27-100</f>
        <v>-2.7437500000000057</v>
      </c>
      <c r="W28" s="112"/>
      <c r="X28" s="111" t="s">
        <v>229</v>
      </c>
      <c r="Y28" s="112">
        <f t="shared" ref="Y28:AD28" si="3">Y27-100</f>
        <v>-34.75</v>
      </c>
      <c r="Z28" s="112">
        <f t="shared" si="3"/>
        <v>-34.75</v>
      </c>
      <c r="AA28" s="112">
        <f t="shared" si="3"/>
        <v>-34.75</v>
      </c>
      <c r="AB28" s="112">
        <f t="shared" si="3"/>
        <v>-15.625</v>
      </c>
      <c r="AC28" s="112">
        <f t="shared" si="3"/>
        <v>-15.625</v>
      </c>
      <c r="AD28" s="112">
        <f t="shared" si="3"/>
        <v>-15.625</v>
      </c>
    </row>
    <row r="29" spans="1:30" customFormat="1" x14ac:dyDescent="0.2">
      <c r="A29" s="1"/>
      <c r="B29" s="1"/>
      <c r="C29" s="1"/>
      <c r="D29" s="1"/>
      <c r="E29" s="1"/>
      <c r="F29" s="1"/>
      <c r="G29" s="1"/>
      <c r="H29" s="1"/>
      <c r="I29" s="1"/>
      <c r="J29" s="1"/>
      <c r="K29" s="1"/>
      <c r="L29" s="1"/>
      <c r="M29" s="1"/>
      <c r="N29" s="1"/>
      <c r="O29" s="1"/>
      <c r="P29" s="1"/>
      <c r="Q29" s="559"/>
      <c r="R29" s="109"/>
      <c r="S29" s="111" t="s">
        <v>230</v>
      </c>
      <c r="T29" s="112">
        <f>IF(T28&lt;0,T27,100)</f>
        <v>97.256249999999994</v>
      </c>
      <c r="U29" s="112">
        <f>IF(U28&lt;0,U27,100)</f>
        <v>97.256249999999994</v>
      </c>
      <c r="V29" s="112">
        <f>IF(V28&lt;0,V27,100)</f>
        <v>97.256249999999994</v>
      </c>
      <c r="W29" s="112"/>
      <c r="X29" s="111" t="s">
        <v>230</v>
      </c>
      <c r="Y29" s="112">
        <f t="shared" ref="Y29:AD29" si="4">IF(Y28&lt;0,Y27,100)</f>
        <v>65.25</v>
      </c>
      <c r="Z29" s="112">
        <f t="shared" si="4"/>
        <v>65.25</v>
      </c>
      <c r="AA29" s="112">
        <f t="shared" si="4"/>
        <v>65.25</v>
      </c>
      <c r="AB29" s="112">
        <f t="shared" si="4"/>
        <v>84.375</v>
      </c>
      <c r="AC29" s="112">
        <f t="shared" si="4"/>
        <v>84.375</v>
      </c>
      <c r="AD29" s="112">
        <f t="shared" si="4"/>
        <v>84.375</v>
      </c>
    </row>
    <row r="30" spans="1:30" customFormat="1" x14ac:dyDescent="0.2">
      <c r="A30" s="1"/>
      <c r="B30" s="1"/>
      <c r="C30" s="1"/>
      <c r="D30" s="1"/>
      <c r="E30" s="1"/>
      <c r="F30" s="1"/>
      <c r="G30" s="1"/>
      <c r="H30" s="1"/>
      <c r="I30" s="1"/>
      <c r="J30" s="1"/>
      <c r="K30" s="1"/>
      <c r="L30" s="1"/>
      <c r="M30" s="1"/>
      <c r="N30" s="1"/>
      <c r="O30" s="1"/>
      <c r="P30" s="1"/>
      <c r="Q30" s="559"/>
      <c r="R30" s="109"/>
      <c r="S30" s="111" t="s">
        <v>231</v>
      </c>
      <c r="T30" s="112" t="e">
        <f>IF(T27&gt;100,T27-T29,NA())</f>
        <v>#N/A</v>
      </c>
      <c r="U30" s="112" t="e">
        <f>IF(U27&gt;100,U27-U29,NA())</f>
        <v>#N/A</v>
      </c>
      <c r="V30" s="112" t="e">
        <f>IF(V27&gt;100,V27-V29,NA())</f>
        <v>#N/A</v>
      </c>
      <c r="W30" s="112"/>
      <c r="X30" s="111" t="s">
        <v>231</v>
      </c>
      <c r="Y30" s="112" t="e">
        <f t="shared" ref="Y30:AD30" si="5">IF(Y27&gt;100,Y27-Y29,NA())</f>
        <v>#N/A</v>
      </c>
      <c r="Z30" s="112" t="e">
        <f t="shared" si="5"/>
        <v>#N/A</v>
      </c>
      <c r="AA30" s="112" t="e">
        <f t="shared" si="5"/>
        <v>#N/A</v>
      </c>
      <c r="AB30" s="112" t="e">
        <f t="shared" si="5"/>
        <v>#N/A</v>
      </c>
      <c r="AC30" s="112" t="e">
        <f t="shared" si="5"/>
        <v>#N/A</v>
      </c>
      <c r="AD30" s="112" t="e">
        <f t="shared" si="5"/>
        <v>#N/A</v>
      </c>
    </row>
    <row r="31" spans="1:30" customFormat="1" x14ac:dyDescent="0.2">
      <c r="A31" s="1"/>
      <c r="B31" s="1"/>
      <c r="C31" s="1"/>
      <c r="D31" s="1"/>
      <c r="E31" s="1"/>
      <c r="F31" s="1"/>
      <c r="G31" s="1"/>
      <c r="H31" s="1"/>
      <c r="I31" s="1"/>
      <c r="J31" s="1"/>
      <c r="K31" s="1"/>
      <c r="L31" s="1"/>
      <c r="M31" s="1"/>
      <c r="N31" s="1"/>
      <c r="O31" s="1"/>
      <c r="P31" s="1"/>
      <c r="Q31" s="559"/>
      <c r="R31" s="109"/>
      <c r="S31" s="111"/>
      <c r="T31" s="112"/>
      <c r="U31" s="112"/>
      <c r="V31" s="112"/>
      <c r="W31" s="112"/>
      <c r="X31" s="111" t="s">
        <v>232</v>
      </c>
      <c r="Y31" s="112">
        <f>Data!$AC$13</f>
        <v>10</v>
      </c>
      <c r="Z31" s="112">
        <f>Data!$AC$13</f>
        <v>10</v>
      </c>
      <c r="AA31" s="112">
        <f>Data!$AC$13</f>
        <v>10</v>
      </c>
      <c r="AB31" s="112">
        <f>Data!$AC$13</f>
        <v>10</v>
      </c>
      <c r="AC31" s="112">
        <f>Data!$AC$13</f>
        <v>10</v>
      </c>
      <c r="AD31" s="112">
        <f>Data!$AC$13</f>
        <v>10</v>
      </c>
    </row>
    <row r="32" spans="1:30" customFormat="1" x14ac:dyDescent="0.2">
      <c r="A32" s="1"/>
      <c r="B32" s="1"/>
      <c r="C32" s="1"/>
      <c r="D32" s="1"/>
      <c r="E32" s="1"/>
      <c r="F32" s="1"/>
      <c r="G32" s="1"/>
      <c r="H32" s="1"/>
      <c r="I32" s="1"/>
      <c r="J32" s="1"/>
      <c r="K32" s="1"/>
      <c r="L32" s="1"/>
      <c r="M32" s="1"/>
      <c r="N32" s="1"/>
      <c r="O32" s="1"/>
      <c r="P32" s="1"/>
      <c r="Q32" s="559"/>
      <c r="R32" s="109"/>
      <c r="S32" s="111"/>
      <c r="T32" s="112"/>
      <c r="U32" s="112"/>
      <c r="V32" s="112"/>
      <c r="W32" s="112"/>
      <c r="X32" s="111" t="s">
        <v>233</v>
      </c>
      <c r="Y32" s="113">
        <f>-'EU MDM-5000'!D22</f>
        <v>-4.5156453922034823</v>
      </c>
      <c r="Z32" s="113">
        <f>-'EU MDM-5000'!F22</f>
        <v>-4.5156453922034823</v>
      </c>
      <c r="AA32" s="113">
        <f>-'EU MDM-5000'!H22</f>
        <v>-4.5156453922034823</v>
      </c>
      <c r="AB32" s="113">
        <f>-'EU MDM-5000'!J22</f>
        <v>-4.891949174887106</v>
      </c>
      <c r="AC32" s="113">
        <f>-'EU MDM-5000'!L22</f>
        <v>-4.891949174887106</v>
      </c>
      <c r="AD32" s="113">
        <f>-'EU MDM-5000'!N22</f>
        <v>-4.891949174887106</v>
      </c>
    </row>
    <row r="33" spans="1:38" x14ac:dyDescent="0.2">
      <c r="A33" s="1"/>
      <c r="B33" s="1"/>
      <c r="C33" s="1"/>
      <c r="D33" s="1"/>
      <c r="E33" s="1"/>
      <c r="F33" s="1"/>
      <c r="G33" s="1"/>
      <c r="H33" s="1"/>
      <c r="I33" s="1"/>
      <c r="J33" s="1"/>
      <c r="K33" s="1"/>
      <c r="L33" s="1"/>
      <c r="M33" s="1"/>
      <c r="N33" s="1"/>
      <c r="O33" s="1"/>
      <c r="P33" s="1"/>
      <c r="Q33" s="559"/>
      <c r="S33" s="111"/>
      <c r="T33" s="112"/>
      <c r="U33" s="112"/>
      <c r="V33" s="112"/>
      <c r="W33" s="112"/>
      <c r="X33" s="111" t="s">
        <v>234</v>
      </c>
      <c r="Y33" s="112">
        <f t="shared" ref="Y33:AD33" si="6">IF(Y32&gt;-Y31,Y32,-Y31)</f>
        <v>-4.5156453922034823</v>
      </c>
      <c r="Z33" s="112">
        <f t="shared" si="6"/>
        <v>-4.5156453922034823</v>
      </c>
      <c r="AA33" s="112">
        <f t="shared" si="6"/>
        <v>-4.5156453922034823</v>
      </c>
      <c r="AB33" s="112">
        <f t="shared" si="6"/>
        <v>-4.891949174887106</v>
      </c>
      <c r="AC33" s="112">
        <f t="shared" si="6"/>
        <v>-4.891949174887106</v>
      </c>
      <c r="AD33" s="112">
        <f t="shared" si="6"/>
        <v>-4.891949174887106</v>
      </c>
      <c r="AE33"/>
      <c r="AF33"/>
      <c r="AG33"/>
      <c r="AH33"/>
      <c r="AI33"/>
      <c r="AJ33"/>
      <c r="AK33"/>
      <c r="AL33"/>
    </row>
    <row r="34" spans="1:38" x14ac:dyDescent="0.2">
      <c r="A34" s="1"/>
      <c r="B34" s="1"/>
      <c r="C34" s="1"/>
      <c r="D34" s="1"/>
      <c r="E34" s="1"/>
      <c r="F34" s="1"/>
      <c r="G34" s="1"/>
      <c r="H34" s="1"/>
      <c r="I34" s="1"/>
      <c r="J34" s="1"/>
      <c r="K34" s="1"/>
      <c r="L34" s="1"/>
      <c r="M34" s="1"/>
      <c r="N34" s="1"/>
      <c r="O34" s="1"/>
      <c r="P34" s="1"/>
      <c r="Q34" s="559"/>
      <c r="S34" s="111"/>
      <c r="T34" s="112"/>
      <c r="U34" s="112"/>
      <c r="V34" s="112"/>
      <c r="W34" s="112"/>
      <c r="X34" s="111" t="s">
        <v>235</v>
      </c>
      <c r="Y34" s="112" t="e">
        <f t="shared" ref="Y34:AD34" si="7">IF(Y32&gt;-Y31,NA(),Y32+Y31)</f>
        <v>#N/A</v>
      </c>
      <c r="Z34" s="112" t="e">
        <f t="shared" si="7"/>
        <v>#N/A</v>
      </c>
      <c r="AA34" s="112" t="e">
        <f t="shared" si="7"/>
        <v>#N/A</v>
      </c>
      <c r="AB34" s="112" t="e">
        <f t="shared" si="7"/>
        <v>#N/A</v>
      </c>
      <c r="AC34" s="112" t="e">
        <f t="shared" si="7"/>
        <v>#N/A</v>
      </c>
      <c r="AD34" s="112" t="e">
        <f t="shared" si="7"/>
        <v>#N/A</v>
      </c>
      <c r="AE34"/>
      <c r="AF34"/>
      <c r="AG34"/>
      <c r="AH34"/>
      <c r="AI34"/>
      <c r="AJ34"/>
      <c r="AK34"/>
      <c r="AL34"/>
    </row>
    <row r="35" spans="1:38" x14ac:dyDescent="0.2">
      <c r="A35" s="1"/>
      <c r="B35" s="1"/>
      <c r="C35" s="1"/>
      <c r="D35" s="1"/>
      <c r="E35" s="1"/>
      <c r="F35" s="1"/>
      <c r="G35" s="1"/>
      <c r="H35" s="1"/>
      <c r="I35" s="1"/>
      <c r="J35" s="1"/>
      <c r="K35" s="1"/>
      <c r="L35" s="1"/>
      <c r="M35" s="1"/>
      <c r="N35" s="1"/>
      <c r="O35" s="1"/>
      <c r="P35" s="1"/>
      <c r="Q35" s="559"/>
      <c r="S35" s="111"/>
      <c r="T35" s="112"/>
      <c r="U35" s="112"/>
      <c r="V35" s="112"/>
      <c r="W35" s="112"/>
      <c r="X35" s="111"/>
      <c r="Y35" s="112"/>
      <c r="Z35" s="112"/>
      <c r="AA35" s="112"/>
      <c r="AB35" s="112"/>
      <c r="AC35" s="112"/>
      <c r="AD35" s="112"/>
      <c r="AE35"/>
      <c r="AF35"/>
      <c r="AG35"/>
      <c r="AH35"/>
      <c r="AI35"/>
      <c r="AJ35"/>
      <c r="AK35"/>
      <c r="AL35"/>
    </row>
    <row r="36" spans="1:38" x14ac:dyDescent="0.2">
      <c r="A36" s="1"/>
      <c r="B36" s="1"/>
      <c r="C36" s="1"/>
      <c r="D36" s="1"/>
      <c r="E36" s="1"/>
      <c r="F36" s="1"/>
      <c r="G36" s="1"/>
      <c r="H36" s="1"/>
      <c r="I36" s="1"/>
      <c r="J36" s="1"/>
      <c r="K36" s="1"/>
      <c r="L36" s="1"/>
      <c r="M36" s="1"/>
      <c r="N36" s="1"/>
      <c r="O36" s="1"/>
      <c r="P36" s="1"/>
      <c r="AE36"/>
      <c r="AF36"/>
      <c r="AG36"/>
      <c r="AH36"/>
      <c r="AI36"/>
      <c r="AJ36"/>
      <c r="AK36"/>
      <c r="AL36"/>
    </row>
    <row r="37" spans="1:38" ht="17" thickBot="1" x14ac:dyDescent="0.25">
      <c r="A37" s="1"/>
      <c r="B37" s="71" t="str">
        <f>Data!$T$1</f>
        <v>Meyer Sound Laboratories, Inc. Berkeley, California, USA                                 www.meyersound.com</v>
      </c>
      <c r="C37" s="1"/>
      <c r="D37" s="1"/>
      <c r="E37" s="1"/>
      <c r="F37" s="1"/>
      <c r="G37" s="1"/>
      <c r="H37" s="1"/>
      <c r="I37" s="1"/>
      <c r="J37" s="1"/>
      <c r="K37" s="1"/>
      <c r="L37" s="1"/>
      <c r="M37" s="1"/>
      <c r="N37" s="1"/>
      <c r="O37" s="1"/>
      <c r="P37" s="126" t="str">
        <f>Data!$G$1</f>
        <v>© 2021</v>
      </c>
      <c r="AE37"/>
      <c r="AF37"/>
      <c r="AG37"/>
      <c r="AH37"/>
      <c r="AI37"/>
      <c r="AJ37"/>
      <c r="AK37"/>
      <c r="AL37"/>
    </row>
    <row r="38" spans="1:38" x14ac:dyDescent="0.2">
      <c r="A38" s="133"/>
      <c r="B38" s="133"/>
      <c r="C38" s="133"/>
      <c r="D38" s="133"/>
      <c r="E38" s="133"/>
      <c r="F38" s="133"/>
      <c r="G38" s="133"/>
      <c r="H38" s="133"/>
      <c r="I38" s="133"/>
      <c r="J38" s="133"/>
      <c r="K38" s="133"/>
      <c r="L38" s="133"/>
      <c r="M38" s="133"/>
      <c r="N38" s="133"/>
      <c r="O38" s="163" t="str">
        <f>Data!$M$1</f>
        <v>06.257.005.01 C</v>
      </c>
      <c r="P38" s="133"/>
      <c r="T38"/>
      <c r="U38"/>
      <c r="V38"/>
      <c r="W38"/>
      <c r="X38"/>
      <c r="Y38"/>
      <c r="Z38"/>
      <c r="AA38"/>
      <c r="AB38"/>
      <c r="AC38"/>
      <c r="AD38"/>
      <c r="AE38"/>
      <c r="AF38"/>
      <c r="AG38"/>
      <c r="AH38"/>
      <c r="AI38"/>
      <c r="AJ38"/>
      <c r="AK38"/>
      <c r="AL38"/>
    </row>
    <row r="39" spans="1:38" x14ac:dyDescent="0.2">
      <c r="A39" s="1"/>
      <c r="B39" s="10" t="s">
        <v>192</v>
      </c>
      <c r="C39" s="1"/>
      <c r="D39" s="11" t="s">
        <v>166</v>
      </c>
      <c r="E39" s="138">
        <f>'Master EU'!$D$4</f>
        <v>230</v>
      </c>
      <c r="F39" s="11" t="s">
        <v>167</v>
      </c>
      <c r="G39" s="138">
        <f>'Master EU'!$G$4</f>
        <v>230</v>
      </c>
      <c r="H39" s="11" t="s">
        <v>168</v>
      </c>
      <c r="I39" s="332">
        <f>'Master EU'!$J$4</f>
        <v>230</v>
      </c>
      <c r="J39" s="570" t="s">
        <v>193</v>
      </c>
      <c r="K39" s="570"/>
      <c r="L39" s="335" t="s">
        <v>194</v>
      </c>
      <c r="M39" s="27"/>
      <c r="N39" s="31">
        <v>2.5</v>
      </c>
      <c r="O39" s="30" t="s">
        <v>107</v>
      </c>
      <c r="P39" s="1"/>
      <c r="T39"/>
      <c r="U39"/>
      <c r="V39"/>
      <c r="W39"/>
      <c r="X39"/>
      <c r="Y39"/>
      <c r="Z39"/>
      <c r="AA39"/>
      <c r="AB39"/>
      <c r="AC39"/>
      <c r="AD39"/>
      <c r="AE39"/>
      <c r="AF39"/>
      <c r="AG39"/>
      <c r="AH39"/>
      <c r="AI39"/>
      <c r="AJ39"/>
      <c r="AK39"/>
      <c r="AL39"/>
    </row>
    <row r="40" spans="1:38" ht="5" customHeight="1" x14ac:dyDescent="0.25">
      <c r="A40" s="1"/>
      <c r="B40" s="2"/>
      <c r="C40" s="1"/>
      <c r="D40" s="5"/>
      <c r="E40" s="40">
        <v>230</v>
      </c>
      <c r="F40" s="5"/>
      <c r="G40" s="40"/>
      <c r="H40" s="5"/>
      <c r="I40" s="8"/>
      <c r="J40" s="400">
        <f>(((D42)*E39)/1000)+(((F42)*G39)/1000)+(((H42)*I39)/1000)</f>
        <v>25.667999999999999</v>
      </c>
      <c r="K40" s="400" t="s">
        <v>196</v>
      </c>
      <c r="L40" s="1"/>
      <c r="M40" s="1"/>
      <c r="N40" s="1"/>
      <c r="O40" s="1"/>
      <c r="P40" s="1"/>
      <c r="T40"/>
      <c r="U40"/>
      <c r="V40"/>
      <c r="W40"/>
      <c r="X40"/>
      <c r="Y40"/>
      <c r="Z40"/>
      <c r="AA40"/>
      <c r="AB40"/>
      <c r="AC40"/>
      <c r="AD40"/>
      <c r="AE40"/>
      <c r="AF40"/>
      <c r="AG40"/>
      <c r="AH40"/>
      <c r="AI40"/>
      <c r="AJ40"/>
      <c r="AK40"/>
      <c r="AL40"/>
    </row>
    <row r="41" spans="1:38" ht="16" customHeight="1" x14ac:dyDescent="0.2">
      <c r="A41" s="1"/>
      <c r="B41" s="23" t="str">
        <f>_xlfn.TEXTJOIN("",FALSE,"MLTC + ",'Master EU'!D11,"%")</f>
        <v>MLTC + 30%</v>
      </c>
      <c r="C41" s="1"/>
      <c r="D41" s="25">
        <f>(D51+J51)*(1+('Master EU'!D11/100))</f>
        <v>28.6</v>
      </c>
      <c r="E41" s="41" t="str">
        <f>IF(D41&gt;Data!$AC$6,"&lt;OVER!","A RMS")</f>
        <v>A RMS</v>
      </c>
      <c r="F41" s="25">
        <f>(F51+L51)*(1+('Master EU'!D11/100))</f>
        <v>28.6</v>
      </c>
      <c r="G41" s="41" t="str">
        <f>IF(F41&gt;Data!$AC$6,"&lt;OVER!","A RMS")</f>
        <v>A RMS</v>
      </c>
      <c r="H41" s="25">
        <f>(H51+N51)*(1+('Master EU'!D11/100))</f>
        <v>28.6</v>
      </c>
      <c r="I41" s="333" t="str">
        <f>IF(H41&gt;Data!$AC$6,"&lt;OVER!","A RMS")</f>
        <v>A RMS</v>
      </c>
      <c r="J41" s="550" t="s">
        <v>197</v>
      </c>
      <c r="K41" s="551"/>
      <c r="L41" s="552"/>
      <c r="M41" s="562" t="str">
        <f>IF('EU MDM-5000'!S47&gt;0,"N O !","O K")</f>
        <v>O K</v>
      </c>
      <c r="N41" s="563"/>
      <c r="O41" s="568">
        <v>2</v>
      </c>
      <c r="P41" s="569"/>
      <c r="R41" s="109" t="s">
        <v>198</v>
      </c>
      <c r="T41"/>
      <c r="U41"/>
      <c r="V41"/>
      <c r="W41"/>
      <c r="X41"/>
      <c r="Y41"/>
      <c r="Z41"/>
      <c r="AA41"/>
      <c r="AB41"/>
      <c r="AC41"/>
      <c r="AD41"/>
      <c r="AE41"/>
      <c r="AF41"/>
      <c r="AG41"/>
      <c r="AH41"/>
      <c r="AI41"/>
      <c r="AJ41"/>
      <c r="AK41"/>
      <c r="AL41"/>
    </row>
    <row r="42" spans="1:38" ht="15" customHeight="1" x14ac:dyDescent="0.2">
      <c r="A42" s="1"/>
      <c r="B42" s="23" t="s">
        <v>199</v>
      </c>
      <c r="C42" s="1"/>
      <c r="D42" s="25">
        <f>D52+J52</f>
        <v>37.200000000000003</v>
      </c>
      <c r="E42" s="41" t="s">
        <v>116</v>
      </c>
      <c r="F42" s="25">
        <f>F52+L52</f>
        <v>37.200000000000003</v>
      </c>
      <c r="G42" s="41" t="s">
        <v>116</v>
      </c>
      <c r="H42" s="25">
        <f>H52+N52</f>
        <v>37.200000000000003</v>
      </c>
      <c r="I42" s="333" t="s">
        <v>116</v>
      </c>
      <c r="J42" s="551"/>
      <c r="K42" s="551"/>
      <c r="L42" s="552"/>
      <c r="M42" s="564"/>
      <c r="N42" s="565"/>
      <c r="O42" s="568"/>
      <c r="P42" s="569"/>
      <c r="R42" s="109" t="s">
        <v>162</v>
      </c>
      <c r="S42" s="109">
        <f>IF(OR('EU MDM-5000'!D41&gt;Data!$AC$6,'EU MDM-5000'!F41&gt;Data!$AC$6,'EU MDM-5000'!H41&gt;Data!$AC$6),1,0)</f>
        <v>0</v>
      </c>
      <c r="T42"/>
      <c r="U42"/>
      <c r="V42"/>
      <c r="W42"/>
      <c r="X42"/>
      <c r="Y42"/>
      <c r="Z42"/>
      <c r="AA42"/>
      <c r="AB42"/>
      <c r="AC42"/>
      <c r="AD42"/>
      <c r="AE42"/>
      <c r="AF42"/>
      <c r="AG42"/>
      <c r="AH42"/>
      <c r="AI42"/>
      <c r="AJ42"/>
      <c r="AK42"/>
      <c r="AL42"/>
    </row>
    <row r="43" spans="1:38" ht="15" customHeight="1" x14ac:dyDescent="0.2">
      <c r="A43" s="1"/>
      <c r="B43" s="24" t="s">
        <v>200</v>
      </c>
      <c r="C43" s="1"/>
      <c r="D43" s="26">
        <f>D53+J53</f>
        <v>87.199999999999989</v>
      </c>
      <c r="E43" s="42" t="s">
        <v>117</v>
      </c>
      <c r="F43" s="26">
        <f>F53+L53</f>
        <v>87.199999999999989</v>
      </c>
      <c r="G43" s="42" t="s">
        <v>117</v>
      </c>
      <c r="H43" s="26">
        <f>H53+N53</f>
        <v>87.199999999999989</v>
      </c>
      <c r="I43" s="334" t="s">
        <v>117</v>
      </c>
      <c r="J43" s="551"/>
      <c r="K43" s="551"/>
      <c r="L43" s="552"/>
      <c r="M43" s="566"/>
      <c r="N43" s="567"/>
      <c r="O43" s="568"/>
      <c r="P43" s="569"/>
      <c r="R43" s="109" t="s">
        <v>201</v>
      </c>
      <c r="S43" s="109">
        <f>IF(OR('EU MDM-5000'!D51&gt;Data!$AC$7,'EU MDM-5000'!F51&gt;Data!$AC$7,'EU MDM-5000'!H51&gt;Data!$AC$7,'EU MDM-5000'!J51&gt;Data!$AC$7,'EU MDM-5000'!L51&gt;Data!$AC$7,'EU MDM-5000'!N51&gt;Data!$AC$7),1,0)</f>
        <v>0</v>
      </c>
      <c r="T43"/>
      <c r="U43"/>
      <c r="V43"/>
      <c r="W43"/>
      <c r="X43"/>
      <c r="Y43"/>
      <c r="Z43"/>
      <c r="AA43"/>
      <c r="AB43"/>
      <c r="AC43"/>
      <c r="AD43"/>
      <c r="AE43"/>
      <c r="AF43"/>
      <c r="AG43"/>
      <c r="AH43"/>
      <c r="AI43"/>
      <c r="AJ43"/>
      <c r="AK43"/>
      <c r="AL43"/>
    </row>
    <row r="44" spans="1:38" ht="8" customHeight="1" thickBot="1" x14ac:dyDescent="0.25">
      <c r="A44" s="1"/>
      <c r="B44" s="1"/>
      <c r="C44" s="1"/>
      <c r="D44" s="1"/>
      <c r="E44" s="1"/>
      <c r="F44" s="1"/>
      <c r="G44" s="1"/>
      <c r="H44" s="1"/>
      <c r="I44" s="1"/>
      <c r="J44" s="1"/>
      <c r="K44" s="1"/>
      <c r="L44" s="1"/>
      <c r="M44" s="1"/>
      <c r="N44" s="1"/>
      <c r="O44" s="1"/>
      <c r="P44" s="1"/>
      <c r="R44" s="109" t="s">
        <v>202</v>
      </c>
      <c r="S44" s="109">
        <f>IF(OR('EU MDM-5000'!D53&gt;Data!$AC$8,'EU MDM-5000'!F53&gt;Data!$AC$8,'EU MDM-5000'!H53&gt;Data!$AC$8,'EU MDM-5000'!J53&gt;Data!$AC$8,'EU MDM-5000'!L53&gt;Data!$AC$8,'EU MDM-5000'!N53&gt;Data!$AC$8),1,0)</f>
        <v>0</v>
      </c>
      <c r="T44"/>
      <c r="U44"/>
      <c r="V44"/>
      <c r="W44"/>
      <c r="X44"/>
      <c r="Y44"/>
      <c r="Z44"/>
      <c r="AA44"/>
      <c r="AB44"/>
      <c r="AC44"/>
      <c r="AD44"/>
      <c r="AE44"/>
      <c r="AF44"/>
      <c r="AG44"/>
      <c r="AH44"/>
      <c r="AI44"/>
      <c r="AJ44"/>
      <c r="AK44"/>
      <c r="AL44"/>
    </row>
    <row r="45" spans="1:38" x14ac:dyDescent="0.2">
      <c r="A45" s="1"/>
      <c r="B45" s="10" t="s">
        <v>203</v>
      </c>
      <c r="C45" s="1"/>
      <c r="D45" s="560">
        <v>1</v>
      </c>
      <c r="E45" s="561"/>
      <c r="F45" s="553">
        <v>2</v>
      </c>
      <c r="G45" s="561"/>
      <c r="H45" s="553">
        <v>3</v>
      </c>
      <c r="I45" s="561"/>
      <c r="J45" s="553">
        <v>4</v>
      </c>
      <c r="K45" s="561"/>
      <c r="L45" s="553">
        <v>5</v>
      </c>
      <c r="M45" s="561"/>
      <c r="N45" s="553">
        <v>6</v>
      </c>
      <c r="O45" s="554"/>
      <c r="P45" s="1"/>
      <c r="R45" s="109" t="s">
        <v>204</v>
      </c>
      <c r="S45" s="109">
        <f>IF(OR('EU MDM-5000'!D59&gt;Data!$AC$13,'EU MDM-5000'!F59&gt;Data!$AC$13,'EU MDM-5000'!H59&gt;Data!$AC$13,'EU MDM-5000'!J59&gt;Data!$AC$13,'EU MDM-5000'!L59&gt;Data!$AC$13,'EU MDM-5000'!N59&gt;Data!$AC$13),1,0)</f>
        <v>0</v>
      </c>
      <c r="T45"/>
      <c r="U45"/>
      <c r="V45"/>
      <c r="W45"/>
      <c r="X45"/>
      <c r="Y45"/>
      <c r="Z45"/>
      <c r="AA45"/>
      <c r="AB45"/>
      <c r="AC45"/>
      <c r="AD45"/>
      <c r="AE45"/>
      <c r="AF45"/>
      <c r="AG45"/>
      <c r="AH45"/>
      <c r="AI45"/>
      <c r="AJ45"/>
      <c r="AK45"/>
      <c r="AL45"/>
    </row>
    <row r="46" spans="1:38" x14ac:dyDescent="0.2">
      <c r="A46" s="1"/>
      <c r="B46" s="23" t="s">
        <v>205</v>
      </c>
      <c r="C46" s="1"/>
      <c r="D46" s="32" t="s">
        <v>236</v>
      </c>
      <c r="E46" s="33">
        <v>8</v>
      </c>
      <c r="F46" s="34" t="s">
        <v>236</v>
      </c>
      <c r="G46" s="33">
        <v>8</v>
      </c>
      <c r="H46" s="34" t="s">
        <v>236</v>
      </c>
      <c r="I46" s="33">
        <v>8</v>
      </c>
      <c r="J46" s="34" t="s">
        <v>237</v>
      </c>
      <c r="K46" s="33">
        <v>4</v>
      </c>
      <c r="L46" s="34" t="s">
        <v>237</v>
      </c>
      <c r="M46" s="33">
        <v>4</v>
      </c>
      <c r="N46" s="34" t="s">
        <v>237</v>
      </c>
      <c r="O46" s="35">
        <v>4</v>
      </c>
      <c r="P46" s="1"/>
      <c r="T46"/>
      <c r="U46"/>
      <c r="V46"/>
      <c r="W46"/>
      <c r="X46"/>
      <c r="Y46"/>
      <c r="Z46"/>
      <c r="AA46"/>
      <c r="AB46"/>
      <c r="AC46"/>
      <c r="AD46"/>
      <c r="AE46"/>
      <c r="AF46"/>
      <c r="AG46"/>
      <c r="AH46"/>
      <c r="AI46"/>
      <c r="AJ46"/>
      <c r="AK46"/>
      <c r="AL46"/>
    </row>
    <row r="47" spans="1:38" x14ac:dyDescent="0.2">
      <c r="A47" s="1"/>
      <c r="B47" s="23" t="s">
        <v>205</v>
      </c>
      <c r="C47" s="1"/>
      <c r="D47" s="36" t="s">
        <v>127</v>
      </c>
      <c r="E47" s="33">
        <v>0</v>
      </c>
      <c r="F47" s="37" t="s">
        <v>127</v>
      </c>
      <c r="G47" s="33">
        <v>0</v>
      </c>
      <c r="H47" s="37" t="s">
        <v>127</v>
      </c>
      <c r="I47" s="33">
        <v>0</v>
      </c>
      <c r="J47" s="37" t="s">
        <v>127</v>
      </c>
      <c r="K47" s="33">
        <v>0</v>
      </c>
      <c r="L47" s="37" t="s">
        <v>127</v>
      </c>
      <c r="M47" s="33">
        <v>0</v>
      </c>
      <c r="N47" s="37" t="s">
        <v>127</v>
      </c>
      <c r="O47" s="35">
        <v>0</v>
      </c>
      <c r="P47" s="1"/>
      <c r="R47" s="109" t="s">
        <v>208</v>
      </c>
      <c r="S47" s="109">
        <f>SUM(S42:S45)</f>
        <v>0</v>
      </c>
      <c r="T47"/>
      <c r="U47"/>
      <c r="V47"/>
      <c r="W47"/>
      <c r="X47"/>
      <c r="Y47"/>
      <c r="Z47"/>
      <c r="AA47"/>
      <c r="AB47"/>
      <c r="AC47"/>
      <c r="AD47"/>
      <c r="AE47">
        <f t="shared" ref="AE47:AJ48" si="8">IF(OR(AND($D46=AE$1,$E46&gt;0),AND($F46=AE$1,$G46&gt;0),AND($H46=AE$1,$I46&gt;0),AND($J46=AE$1,$K46&gt;0),AND($L46=AE$1,$M46&gt;0),AND($N46=AE$1,$O46&gt;0)),1,0)</f>
        <v>0</v>
      </c>
      <c r="AF47">
        <f t="shared" si="8"/>
        <v>0</v>
      </c>
      <c r="AG47">
        <f t="shared" si="8"/>
        <v>0</v>
      </c>
      <c r="AH47">
        <f t="shared" si="8"/>
        <v>0</v>
      </c>
      <c r="AI47">
        <f t="shared" si="8"/>
        <v>0</v>
      </c>
      <c r="AJ47">
        <f t="shared" si="8"/>
        <v>0</v>
      </c>
      <c r="AK47"/>
      <c r="AL47"/>
    </row>
    <row r="48" spans="1:38" x14ac:dyDescent="0.2">
      <c r="A48" s="1"/>
      <c r="B48" s="23" t="s">
        <v>121</v>
      </c>
      <c r="C48" s="1"/>
      <c r="D48" s="38">
        <v>30</v>
      </c>
      <c r="E48" s="29" t="s">
        <v>209</v>
      </c>
      <c r="F48" s="39">
        <v>30</v>
      </c>
      <c r="G48" s="29" t="s">
        <v>209</v>
      </c>
      <c r="H48" s="39">
        <v>30</v>
      </c>
      <c r="I48" s="29" t="s">
        <v>209</v>
      </c>
      <c r="J48" s="39">
        <v>30</v>
      </c>
      <c r="K48" s="29" t="s">
        <v>209</v>
      </c>
      <c r="L48" s="39">
        <v>30</v>
      </c>
      <c r="M48" s="29" t="s">
        <v>209</v>
      </c>
      <c r="N48" s="39">
        <v>30</v>
      </c>
      <c r="O48" s="28" t="s">
        <v>209</v>
      </c>
      <c r="P48" s="1"/>
      <c r="T48"/>
      <c r="U48"/>
      <c r="V48"/>
      <c r="W48"/>
      <c r="X48"/>
      <c r="Y48"/>
      <c r="Z48"/>
      <c r="AA48"/>
      <c r="AB48"/>
      <c r="AC48"/>
      <c r="AD48"/>
      <c r="AE48">
        <f t="shared" si="8"/>
        <v>0</v>
      </c>
      <c r="AF48">
        <f t="shared" si="8"/>
        <v>0</v>
      </c>
      <c r="AG48">
        <f t="shared" si="8"/>
        <v>0</v>
      </c>
      <c r="AH48">
        <f t="shared" si="8"/>
        <v>0</v>
      </c>
      <c r="AI48">
        <f t="shared" si="8"/>
        <v>0</v>
      </c>
      <c r="AJ48">
        <f t="shared" si="8"/>
        <v>0</v>
      </c>
      <c r="AK48"/>
      <c r="AL48"/>
    </row>
    <row r="49" spans="1:38" ht="11" customHeight="1" x14ac:dyDescent="0.2">
      <c r="A49" s="1"/>
      <c r="B49" s="2"/>
      <c r="C49" s="1"/>
      <c r="D49" s="555" t="s">
        <v>210</v>
      </c>
      <c r="E49" s="556"/>
      <c r="F49" s="556"/>
      <c r="G49" s="556"/>
      <c r="H49" s="556"/>
      <c r="I49" s="556"/>
      <c r="J49" s="557" t="s">
        <v>210</v>
      </c>
      <c r="K49" s="556"/>
      <c r="L49" s="556"/>
      <c r="M49" s="556"/>
      <c r="N49" s="556"/>
      <c r="O49" s="558"/>
      <c r="P49" s="1"/>
      <c r="T49"/>
      <c r="U49"/>
      <c r="V49"/>
      <c r="W49"/>
      <c r="X49"/>
      <c r="Y49"/>
      <c r="Z49"/>
      <c r="AA49"/>
      <c r="AB49"/>
      <c r="AC49"/>
      <c r="AD49"/>
      <c r="AE49"/>
      <c r="AF49"/>
      <c r="AG49"/>
      <c r="AH49"/>
      <c r="AI49"/>
      <c r="AJ49"/>
      <c r="AK49"/>
      <c r="AL49"/>
    </row>
    <row r="50" spans="1:38" ht="6" customHeight="1" x14ac:dyDescent="0.2">
      <c r="A50" s="1"/>
      <c r="B50" s="2"/>
      <c r="C50" s="1"/>
      <c r="D50" s="3"/>
      <c r="E50" s="4"/>
      <c r="F50" s="5"/>
      <c r="G50" s="4"/>
      <c r="H50" s="5"/>
      <c r="I50" s="4"/>
      <c r="J50" s="5"/>
      <c r="K50" s="4"/>
      <c r="L50" s="5"/>
      <c r="M50" s="4"/>
      <c r="N50" s="5"/>
      <c r="O50" s="6"/>
      <c r="P50" s="1"/>
      <c r="T50"/>
      <c r="U50"/>
      <c r="V50"/>
      <c r="W50"/>
      <c r="X50"/>
      <c r="Y50"/>
      <c r="Z50"/>
      <c r="AA50"/>
      <c r="AB50"/>
      <c r="AC50"/>
      <c r="AD50"/>
      <c r="AE50"/>
      <c r="AF50"/>
      <c r="AG50"/>
      <c r="AH50"/>
      <c r="AI50"/>
      <c r="AJ50"/>
      <c r="AK50"/>
      <c r="AL50"/>
    </row>
    <row r="51" spans="1:38" x14ac:dyDescent="0.2">
      <c r="A51" s="1"/>
      <c r="B51" s="23" t="s">
        <v>211</v>
      </c>
      <c r="C51" s="1"/>
      <c r="D51" s="12">
        <f>(((VLOOKUP($D46,Data!$R$4:$U$69,2,FALSE)*$E46)+(VLOOKUP($D47,Data!$R$4:$U$69,2,FALSE)*$E47))/E39)*Data!$R$3</f>
        <v>12</v>
      </c>
      <c r="E51" s="13" t="str">
        <f>IF(D51&gt;Data!$AC$7,"&lt;OVER!","A RMS")</f>
        <v>A RMS</v>
      </c>
      <c r="F51" s="14">
        <f>(((VLOOKUP($F46,Data!$R$4:$U$69,2,FALSE)*$G46)+(VLOOKUP($F47,Data!$R$4:$U$69,2,FALSE)*$G47))/G39)*Data!$R$3</f>
        <v>12</v>
      </c>
      <c r="G51" s="13" t="str">
        <f>IF(F51&gt;Data!$AC$7,"&lt;OVER!","A RMS")</f>
        <v>A RMS</v>
      </c>
      <c r="H51" s="14">
        <f>(((VLOOKUP($H46,Data!$R$4:$U$69,2,FALSE)*$I46)+(VLOOKUP($H47,Data!$R$4:$U$69,2,FALSE)*$I47))/I39)*Data!$R$3</f>
        <v>12</v>
      </c>
      <c r="I51" s="13" t="str">
        <f>IF(H51&gt;Data!$AC$7,"&lt;OVER!","A RMS")</f>
        <v>A RMS</v>
      </c>
      <c r="J51" s="14">
        <f>(((VLOOKUP($J46,Data!$R$4:$U$69,2,FALSE)*$K46)+(VLOOKUP($J47,Data!$R$4:$U$69,2,FALSE)*$K47))/E39)*Data!$R$3</f>
        <v>10</v>
      </c>
      <c r="K51" s="13" t="str">
        <f>IF(J51&gt;Data!$AC$7,"&lt;OVER!","A RMS")</f>
        <v>A RMS</v>
      </c>
      <c r="L51" s="14">
        <f>(((VLOOKUP($L46,Data!$R$4:$U$69,2,FALSE)*$M46)+(VLOOKUP($L47,Data!$R$4:$U$69,2,FALSE)*$M47))/G39)*Data!$R$3</f>
        <v>10</v>
      </c>
      <c r="M51" s="13" t="str">
        <f>IF(L51&gt;Data!$AC$7,"&lt;OVER!","A RMS")</f>
        <v>A RMS</v>
      </c>
      <c r="N51" s="14">
        <f>(((VLOOKUP($N46,Data!$R$4:$U$69,2,FALSE)*$O46)+(VLOOKUP($N47,Data!$R$4:$U$69,2,FALSE)*$O47))/I39)*Data!$R$3</f>
        <v>10</v>
      </c>
      <c r="O51" s="15" t="str">
        <f>IF(N51&gt;Data!$AC$7,"&lt;OVER!","A RMS")</f>
        <v>A RMS</v>
      </c>
      <c r="P51" s="1"/>
      <c r="T51"/>
      <c r="U51"/>
      <c r="V51"/>
      <c r="W51"/>
      <c r="X51"/>
      <c r="Y51"/>
      <c r="Z51"/>
      <c r="AA51"/>
      <c r="AB51"/>
      <c r="AC51"/>
      <c r="AD51"/>
      <c r="AE51"/>
      <c r="AF51"/>
      <c r="AG51"/>
      <c r="AH51"/>
      <c r="AI51"/>
      <c r="AJ51"/>
      <c r="AK51"/>
      <c r="AL51"/>
    </row>
    <row r="52" spans="1:38" x14ac:dyDescent="0.2">
      <c r="A52" s="1"/>
      <c r="B52" s="23" t="s">
        <v>199</v>
      </c>
      <c r="C52" s="1"/>
      <c r="D52" s="12">
        <f>(((VLOOKUP($D46,Data!$R$4:$U$69,3,FALSE)*$E46)+(VLOOKUP($D47,Data!$R$4:$U$69,3,FALSE)*$E47))/E39)*Data!$R$3</f>
        <v>18.399999999999999</v>
      </c>
      <c r="E52" s="13" t="s">
        <v>116</v>
      </c>
      <c r="F52" s="14">
        <f>(((VLOOKUP($F46,Data!$R$4:$U$69,3,FALSE)*$G46)+(VLOOKUP($F47,Data!$R$4:$U$69,3,FALSE)*$G47))/G39)*Data!$R$3</f>
        <v>18.399999999999999</v>
      </c>
      <c r="G52" s="13" t="s">
        <v>116</v>
      </c>
      <c r="H52" s="14">
        <f>(((VLOOKUP($H46,Data!$R$4:$U$69,3,FALSE)*$I46)+(VLOOKUP($H47,Data!$R$4:$U$69,3,FALSE)*$I47))/I39)*Data!$R$3</f>
        <v>18.399999999999999</v>
      </c>
      <c r="I52" s="13" t="s">
        <v>116</v>
      </c>
      <c r="J52" s="14">
        <f>(((VLOOKUP($J46,Data!$R$4:$U$69,3,FALSE)*$K46)+(VLOOKUP($J47,Data!$R$4:$U$69,3,FALSE)*$K47))/E39)*Data!$R$3</f>
        <v>18.8</v>
      </c>
      <c r="K52" s="13" t="s">
        <v>116</v>
      </c>
      <c r="L52" s="14">
        <f>(((VLOOKUP($L46,Data!$R$4:$U$69,3,FALSE)*$M46)+(VLOOKUP($L47,Data!$R$4:$U$69,3,FALSE)*$M47))/G39)*Data!$R$3</f>
        <v>18.8</v>
      </c>
      <c r="M52" s="13" t="s">
        <v>116</v>
      </c>
      <c r="N52" s="14">
        <f>(((VLOOKUP($N46,Data!$R$4:$U$69,3,FALSE)*$O46)+(VLOOKUP($N47,Data!$R$4:$U$69,3,FALSE)*$O47))/I39)*Data!$R$3</f>
        <v>18.8</v>
      </c>
      <c r="O52" s="15" t="s">
        <v>116</v>
      </c>
      <c r="P52" s="1"/>
      <c r="T52"/>
      <c r="U52"/>
      <c r="V52"/>
      <c r="W52"/>
      <c r="X52"/>
      <c r="Y52"/>
      <c r="Z52"/>
      <c r="AA52"/>
      <c r="AB52"/>
      <c r="AC52"/>
      <c r="AD52"/>
      <c r="AE52"/>
      <c r="AF52"/>
      <c r="AG52"/>
      <c r="AH52"/>
      <c r="AI52"/>
      <c r="AJ52"/>
      <c r="AK52"/>
      <c r="AL52"/>
    </row>
    <row r="53" spans="1:38" x14ac:dyDescent="0.2">
      <c r="A53" s="1"/>
      <c r="B53" s="23" t="s">
        <v>200</v>
      </c>
      <c r="C53" s="1"/>
      <c r="D53" s="12">
        <f>(((VLOOKUP($D46,Data!$R$4:$U$69,4,FALSE)*$E46)+(VLOOKUP($D47,Data!$R$4:$U$69,4,FALSE)*$E47))/E39)*Data!$R$3</f>
        <v>50.4</v>
      </c>
      <c r="E53" s="13" t="str">
        <f>IF(D53&gt;Data!$AC$8,"&lt;OVER!","A Pk")</f>
        <v>A Pk</v>
      </c>
      <c r="F53" s="14">
        <f>(((VLOOKUP($F46,Data!$R$4:$U$69,4,FALSE)*$G46)+(VLOOKUP($F47,Data!$R$4:$U$69,4,FALSE)*$G47))/G39)*Data!$R$3</f>
        <v>50.4</v>
      </c>
      <c r="G53" s="13" t="str">
        <f>IF(F53&gt;Data!$AC$8,"&lt;OVER!","A Pk")</f>
        <v>A Pk</v>
      </c>
      <c r="H53" s="14">
        <f>(((VLOOKUP($H46,Data!$R$4:$U$69,4,FALSE)*$I46)+(VLOOKUP($H47,Data!$R$4:$U$69,4,FALSE)*$I47))/I39)*Data!$R$3</f>
        <v>50.4</v>
      </c>
      <c r="I53" s="13" t="str">
        <f>IF(H53&gt;Data!$AC$8,"&lt;OVER!","A Pk")</f>
        <v>A Pk</v>
      </c>
      <c r="J53" s="14">
        <f>(((VLOOKUP($J46,Data!$R$4:$U$69,4,FALSE)*$K46)+(VLOOKUP($J47,Data!$R$4:$U$69,4,FALSE)*$K47))/E39)*Data!$R$3</f>
        <v>36.799999999999997</v>
      </c>
      <c r="K53" s="13" t="str">
        <f>IF(J53&gt;Data!$AC$8,"&lt;OVER!","A Pk")</f>
        <v>A Pk</v>
      </c>
      <c r="L53" s="14">
        <f>(((VLOOKUP($L46,Data!$R$4:$U$69,4,FALSE)*$M46)+(VLOOKUP($L47,Data!$R$4:$U$69,4,FALSE)*$M47))/G39)*Data!$R$3</f>
        <v>36.799999999999997</v>
      </c>
      <c r="M53" s="13" t="str">
        <f>IF(L53&gt;Data!$AC$8,"&lt;OVER!","A Pk")</f>
        <v>A Pk</v>
      </c>
      <c r="N53" s="14">
        <f>(((VLOOKUP($N46,Data!$R$4:$U$69,4,FALSE)*$O46)+(VLOOKUP($N47,Data!$R$4:$U$69,4,FALSE)*$O47))/I39)*Data!$R$3</f>
        <v>36.799999999999997</v>
      </c>
      <c r="O53" s="15" t="str">
        <f>IF(N53&gt;Data!$AC$8,"&lt;OVER!","A Pk")</f>
        <v>A Pk</v>
      </c>
      <c r="P53" s="1"/>
      <c r="T53"/>
      <c r="U53"/>
      <c r="V53"/>
      <c r="W53"/>
      <c r="X53"/>
      <c r="Y53"/>
      <c r="Z53"/>
      <c r="AA53"/>
      <c r="AB53"/>
      <c r="AC53"/>
      <c r="AD53"/>
      <c r="AE53"/>
      <c r="AF53"/>
      <c r="AG53"/>
      <c r="AH53"/>
      <c r="AI53"/>
      <c r="AJ53"/>
      <c r="AK53"/>
      <c r="AL53"/>
    </row>
    <row r="54" spans="1:38" ht="6" customHeight="1" x14ac:dyDescent="0.2">
      <c r="A54" s="1"/>
      <c r="B54" s="23"/>
      <c r="C54" s="1"/>
      <c r="D54" s="12"/>
      <c r="E54" s="16"/>
      <c r="F54" s="14"/>
      <c r="G54" s="16"/>
      <c r="H54" s="14"/>
      <c r="I54" s="16"/>
      <c r="J54" s="14"/>
      <c r="K54" s="16"/>
      <c r="L54" s="14"/>
      <c r="M54" s="16"/>
      <c r="N54" s="14"/>
      <c r="O54" s="15"/>
      <c r="P54" s="1"/>
      <c r="AE54"/>
      <c r="AF54"/>
      <c r="AG54"/>
      <c r="AH54"/>
      <c r="AI54"/>
      <c r="AJ54"/>
      <c r="AK54"/>
      <c r="AL54"/>
    </row>
    <row r="55" spans="1:38" x14ac:dyDescent="0.2">
      <c r="A55" s="1"/>
      <c r="B55" s="23" t="s">
        <v>212</v>
      </c>
      <c r="C55" s="1"/>
      <c r="D55" s="17">
        <f>(17*(10^-8))*((2*D48)/($N$39*(10^-5)))</f>
        <v>0.40800000000000003</v>
      </c>
      <c r="E55" s="16" t="s">
        <v>213</v>
      </c>
      <c r="F55" s="18">
        <f>(17*(10^-8))*((2*F48)/($N$39*(10^-5)))</f>
        <v>0.40800000000000003</v>
      </c>
      <c r="G55" s="16" t="s">
        <v>213</v>
      </c>
      <c r="H55" s="18">
        <f>(17*(10^-8))*((2*H48)/($N$39*(10^-5)))</f>
        <v>0.40800000000000003</v>
      </c>
      <c r="I55" s="16" t="s">
        <v>213</v>
      </c>
      <c r="J55" s="18">
        <f>(17*(10^-8))*((2*J48)/($N$39*(10^-5)))</f>
        <v>0.40800000000000003</v>
      </c>
      <c r="K55" s="16" t="s">
        <v>213</v>
      </c>
      <c r="L55" s="18">
        <f>(17*(10^-8))*((2*L48)/($N$39*(10^-5)))</f>
        <v>0.40800000000000003</v>
      </c>
      <c r="M55" s="16" t="s">
        <v>213</v>
      </c>
      <c r="N55" s="18">
        <f>(17*(10^-8))*((2*N48)/($N$39*(10^-5)))</f>
        <v>0.40800000000000003</v>
      </c>
      <c r="O55" s="15" t="s">
        <v>213</v>
      </c>
      <c r="P55" s="1"/>
      <c r="AE55"/>
      <c r="AF55"/>
      <c r="AG55"/>
      <c r="AH55"/>
      <c r="AI55"/>
      <c r="AJ55"/>
      <c r="AK55"/>
      <c r="AL55"/>
    </row>
    <row r="56" spans="1:38" x14ac:dyDescent="0.2">
      <c r="A56" s="1"/>
      <c r="B56" s="23" t="s">
        <v>214</v>
      </c>
      <c r="C56" s="1"/>
      <c r="D56" s="19">
        <f>E39*SQRT(2)</f>
        <v>325.26911934581187</v>
      </c>
      <c r="E56" s="16" t="s">
        <v>215</v>
      </c>
      <c r="F56" s="20">
        <f>G39*SQRT(2)</f>
        <v>325.26911934581187</v>
      </c>
      <c r="G56" s="16" t="s">
        <v>215</v>
      </c>
      <c r="H56" s="20">
        <f>I39*SQRT(2)</f>
        <v>325.26911934581187</v>
      </c>
      <c r="I56" s="16" t="s">
        <v>215</v>
      </c>
      <c r="J56" s="20">
        <f>E39*SQRT(2)</f>
        <v>325.26911934581187</v>
      </c>
      <c r="K56" s="16" t="s">
        <v>215</v>
      </c>
      <c r="L56" s="20">
        <f>G39*SQRT(2)</f>
        <v>325.26911934581187</v>
      </c>
      <c r="M56" s="16" t="s">
        <v>215</v>
      </c>
      <c r="N56" s="20">
        <f>I39*SQRT(2)</f>
        <v>325.26911934581187</v>
      </c>
      <c r="O56" s="15" t="s">
        <v>215</v>
      </c>
      <c r="P56" s="1"/>
      <c r="Q56" s="559" t="s">
        <v>216</v>
      </c>
      <c r="S56" s="111"/>
      <c r="T56" s="112" t="s">
        <v>166</v>
      </c>
      <c r="U56" s="112" t="s">
        <v>167</v>
      </c>
      <c r="V56" s="112" t="s">
        <v>168</v>
      </c>
      <c r="W56" s="112"/>
      <c r="X56" s="111"/>
      <c r="Y56" s="112" t="s">
        <v>217</v>
      </c>
      <c r="Z56" s="112" t="s">
        <v>218</v>
      </c>
      <c r="AA56" s="112" t="s">
        <v>219</v>
      </c>
      <c r="AB56" s="112" t="s">
        <v>220</v>
      </c>
      <c r="AC56" s="112" t="s">
        <v>221</v>
      </c>
      <c r="AD56" s="112" t="s">
        <v>222</v>
      </c>
      <c r="AE56"/>
      <c r="AF56"/>
      <c r="AG56"/>
      <c r="AH56"/>
      <c r="AI56"/>
      <c r="AJ56"/>
      <c r="AK56"/>
      <c r="AL56"/>
    </row>
    <row r="57" spans="1:38" x14ac:dyDescent="0.2">
      <c r="A57" s="1"/>
      <c r="B57" s="23" t="s">
        <v>223</v>
      </c>
      <c r="C57" s="1"/>
      <c r="D57" s="12">
        <f>D53*D55</f>
        <v>20.563200000000002</v>
      </c>
      <c r="E57" s="16" t="s">
        <v>215</v>
      </c>
      <c r="F57" s="14">
        <f>F53*F55</f>
        <v>20.563200000000002</v>
      </c>
      <c r="G57" s="16" t="s">
        <v>215</v>
      </c>
      <c r="H57" s="14">
        <f>H53*H55</f>
        <v>20.563200000000002</v>
      </c>
      <c r="I57" s="16" t="s">
        <v>215</v>
      </c>
      <c r="J57" s="14">
        <f>J53*J55</f>
        <v>15.0144</v>
      </c>
      <c r="K57" s="16" t="s">
        <v>215</v>
      </c>
      <c r="L57" s="14">
        <f>L53*L55</f>
        <v>15.0144</v>
      </c>
      <c r="M57" s="16" t="s">
        <v>215</v>
      </c>
      <c r="N57" s="14">
        <f>N53*N55</f>
        <v>15.0144</v>
      </c>
      <c r="O57" s="15" t="s">
        <v>215</v>
      </c>
      <c r="P57" s="1"/>
      <c r="Q57" s="559"/>
      <c r="S57" s="111" t="s">
        <v>224</v>
      </c>
      <c r="T57" s="112">
        <f>Data!$AC$6</f>
        <v>32</v>
      </c>
      <c r="U57" s="112">
        <f>Data!$AC$6</f>
        <v>32</v>
      </c>
      <c r="V57" s="112">
        <f>Data!$AC$6</f>
        <v>32</v>
      </c>
      <c r="W57" s="112"/>
      <c r="X57" s="111" t="s">
        <v>224</v>
      </c>
      <c r="Y57" s="112">
        <f>Data!$AC$7</f>
        <v>16</v>
      </c>
      <c r="Z57" s="112">
        <f>Data!$AC$7</f>
        <v>16</v>
      </c>
      <c r="AA57" s="112">
        <f>Data!$AC$7</f>
        <v>16</v>
      </c>
      <c r="AB57" s="112">
        <f>Data!$AC$7</f>
        <v>16</v>
      </c>
      <c r="AC57" s="112">
        <f>Data!$AC$7</f>
        <v>16</v>
      </c>
      <c r="AD57" s="112">
        <f>Data!$AC$7</f>
        <v>16</v>
      </c>
      <c r="AE57"/>
      <c r="AF57"/>
      <c r="AG57"/>
      <c r="AH57"/>
      <c r="AI57"/>
      <c r="AJ57"/>
      <c r="AK57"/>
      <c r="AL57"/>
    </row>
    <row r="58" spans="1:38" x14ac:dyDescent="0.2">
      <c r="A58" s="1"/>
      <c r="B58" s="23" t="s">
        <v>225</v>
      </c>
      <c r="C58" s="1"/>
      <c r="D58" s="19">
        <f>D56-D57</f>
        <v>304.70591934581188</v>
      </c>
      <c r="E58" s="16" t="s">
        <v>215</v>
      </c>
      <c r="F58" s="20">
        <f>F56-F57</f>
        <v>304.70591934581188</v>
      </c>
      <c r="G58" s="16" t="s">
        <v>215</v>
      </c>
      <c r="H58" s="20">
        <f>H56-H57</f>
        <v>304.70591934581188</v>
      </c>
      <c r="I58" s="16" t="s">
        <v>215</v>
      </c>
      <c r="J58" s="20">
        <f>J56-J57</f>
        <v>310.25471934581185</v>
      </c>
      <c r="K58" s="16" t="s">
        <v>215</v>
      </c>
      <c r="L58" s="20">
        <f>L56-L57</f>
        <v>310.25471934581185</v>
      </c>
      <c r="M58" s="16" t="s">
        <v>215</v>
      </c>
      <c r="N58" s="20">
        <f>N56-N57</f>
        <v>310.25471934581185</v>
      </c>
      <c r="O58" s="15" t="s">
        <v>215</v>
      </c>
      <c r="P58" s="1"/>
      <c r="Q58" s="559"/>
      <c r="S58" s="111"/>
      <c r="T58" s="112"/>
      <c r="U58" s="112"/>
      <c r="V58" s="112"/>
      <c r="W58" s="112"/>
      <c r="X58" s="111" t="s">
        <v>226</v>
      </c>
      <c r="Y58" s="112">
        <f>Data!$AC$8</f>
        <v>80</v>
      </c>
      <c r="Z58" s="112">
        <f>Data!$AC$8</f>
        <v>80</v>
      </c>
      <c r="AA58" s="112">
        <f>Data!$AC$8</f>
        <v>80</v>
      </c>
      <c r="AB58" s="112">
        <f>Data!$AC$8</f>
        <v>80</v>
      </c>
      <c r="AC58" s="112">
        <f>Data!$AC$8</f>
        <v>80</v>
      </c>
      <c r="AD58" s="112">
        <f>Data!$AC$8</f>
        <v>80</v>
      </c>
      <c r="AE58"/>
      <c r="AF58"/>
      <c r="AG58"/>
      <c r="AH58"/>
      <c r="AI58"/>
      <c r="AJ58"/>
      <c r="AK58"/>
      <c r="AL58"/>
    </row>
    <row r="59" spans="1:38" ht="17" thickBot="1" x14ac:dyDescent="0.25">
      <c r="A59" s="1"/>
      <c r="B59" s="24" t="s">
        <v>227</v>
      </c>
      <c r="C59" s="1"/>
      <c r="D59" s="141">
        <f>(D57*100)/D56</f>
        <v>6.3219035490848761</v>
      </c>
      <c r="E59" s="21" t="str">
        <f>IF(D59&gt;Data!$AC$13,"&lt;OVER!","% V Pk")</f>
        <v>% V Pk</v>
      </c>
      <c r="F59" s="142">
        <f>(F57*100)/F56</f>
        <v>6.3219035490848761</v>
      </c>
      <c r="G59" s="21" t="str">
        <f>IF(F59&gt;Data!$AC$13,"&lt;OVER!","% V Pk")</f>
        <v>% V Pk</v>
      </c>
      <c r="H59" s="142">
        <f>(H57*100)/H56</f>
        <v>6.3219035490848761</v>
      </c>
      <c r="I59" s="21" t="str">
        <f>IF(H59&gt;Data!$AC$13,"&lt;OVER!","% V Pk")</f>
        <v>% V Pk</v>
      </c>
      <c r="J59" s="142">
        <f>(J57*100)/J56</f>
        <v>4.6159930675857819</v>
      </c>
      <c r="K59" s="21" t="str">
        <f>IF(J59&gt;Data!$AC$13,"&lt;OVER!","% V Pk")</f>
        <v>% V Pk</v>
      </c>
      <c r="L59" s="142">
        <f>(L57*100)/L56</f>
        <v>4.6159930675857819</v>
      </c>
      <c r="M59" s="21" t="str">
        <f>IF(L59&gt;Data!$AC$13,"&lt;OVER!","% V Pk")</f>
        <v>% V Pk</v>
      </c>
      <c r="N59" s="142">
        <f>(N57*100)/N56</f>
        <v>4.6159930675857819</v>
      </c>
      <c r="O59" s="22" t="str">
        <f>IF(N59&gt;Data!$AC$13,"&lt;OVER!","% V Pk")</f>
        <v>% V Pk</v>
      </c>
      <c r="P59" s="1"/>
      <c r="Q59" s="559"/>
      <c r="S59" s="111" t="str">
        <f>'EU MDM-5000'!B41</f>
        <v>MLTC + 30%</v>
      </c>
      <c r="T59" s="112">
        <f>'EU MDM-5000'!D41</f>
        <v>28.6</v>
      </c>
      <c r="U59" s="112">
        <f>'EU MDM-5000'!F41</f>
        <v>28.6</v>
      </c>
      <c r="V59" s="112">
        <f>'EU MDM-5000'!H41</f>
        <v>28.6</v>
      </c>
      <c r="W59" s="112"/>
      <c r="X59" s="111" t="str">
        <f>'EU MDM-5000'!B41</f>
        <v>MLTC + 30%</v>
      </c>
      <c r="Y59" s="112">
        <f>'EU MDM-5000'!D51</f>
        <v>12</v>
      </c>
      <c r="Z59" s="112">
        <f>'EU MDM-5000'!F51</f>
        <v>12</v>
      </c>
      <c r="AA59" s="112">
        <f>'EU MDM-5000'!H51</f>
        <v>12</v>
      </c>
      <c r="AB59" s="112">
        <f>'EU MDM-5000'!J51</f>
        <v>10</v>
      </c>
      <c r="AC59" s="112">
        <f>'EU MDM-5000'!L51</f>
        <v>10</v>
      </c>
      <c r="AD59" s="112">
        <f>'EU MDM-5000'!N51</f>
        <v>10</v>
      </c>
      <c r="AE59"/>
      <c r="AF59"/>
      <c r="AG59"/>
      <c r="AH59"/>
      <c r="AI59"/>
      <c r="AJ59"/>
      <c r="AK59"/>
      <c r="AL59"/>
    </row>
    <row r="60" spans="1:38" x14ac:dyDescent="0.2">
      <c r="A60" s="1"/>
      <c r="B60" s="1"/>
      <c r="C60" s="1"/>
      <c r="D60" s="1"/>
      <c r="E60" s="1"/>
      <c r="F60" s="1"/>
      <c r="G60" s="1"/>
      <c r="H60" s="1"/>
      <c r="I60" s="1"/>
      <c r="J60" s="1"/>
      <c r="K60" s="1"/>
      <c r="L60" s="1"/>
      <c r="M60" s="1"/>
      <c r="N60" s="1"/>
      <c r="O60" s="1"/>
      <c r="P60" s="1"/>
      <c r="Q60" s="559"/>
      <c r="S60" s="111" t="str">
        <f>'EU MDM-5000'!B42</f>
        <v>Burst RMS</v>
      </c>
      <c r="T60" s="112">
        <f>'EU MDM-5000'!D42</f>
        <v>37.200000000000003</v>
      </c>
      <c r="U60" s="112">
        <f>'EU MDM-5000'!F42</f>
        <v>37.200000000000003</v>
      </c>
      <c r="V60" s="112">
        <f>'EU MDM-5000'!H42</f>
        <v>37.200000000000003</v>
      </c>
      <c r="W60" s="112"/>
      <c r="X60" s="111" t="str">
        <f>'EU MDM-5000'!B42</f>
        <v>Burst RMS</v>
      </c>
      <c r="Y60" s="112">
        <f>'EU MDM-5000'!D52</f>
        <v>18.399999999999999</v>
      </c>
      <c r="Z60" s="112">
        <f>'EU MDM-5000'!F52</f>
        <v>18.399999999999999</v>
      </c>
      <c r="AA60" s="112">
        <f>'EU MDM-5000'!H52</f>
        <v>18.399999999999999</v>
      </c>
      <c r="AB60" s="112">
        <f>'EU MDM-5000'!J52</f>
        <v>18.8</v>
      </c>
      <c r="AC60" s="112">
        <f>'EU MDM-5000'!L52</f>
        <v>18.8</v>
      </c>
      <c r="AD60" s="112">
        <f>'EU MDM-5000'!N52</f>
        <v>18.8</v>
      </c>
      <c r="AE60"/>
      <c r="AF60"/>
      <c r="AG60"/>
      <c r="AH60"/>
      <c r="AI60"/>
      <c r="AJ60"/>
      <c r="AK60"/>
      <c r="AL60"/>
    </row>
    <row r="61" spans="1:38" x14ac:dyDescent="0.2">
      <c r="A61" s="1"/>
      <c r="B61" s="1"/>
      <c r="C61" s="1"/>
      <c r="D61" s="1"/>
      <c r="E61" s="1"/>
      <c r="F61" s="1"/>
      <c r="G61" s="1"/>
      <c r="H61" s="1"/>
      <c r="I61" s="1"/>
      <c r="J61" s="1"/>
      <c r="K61" s="1"/>
      <c r="L61" s="1"/>
      <c r="M61" s="1"/>
      <c r="N61" s="1"/>
      <c r="O61" s="1"/>
      <c r="P61" s="1"/>
      <c r="Q61" s="559"/>
      <c r="S61" s="111" t="str">
        <f>'EU MDM-5000'!B43</f>
        <v>Max Inst Pk</v>
      </c>
      <c r="T61" s="112">
        <f>'EU MDM-5000'!D43</f>
        <v>87.199999999999989</v>
      </c>
      <c r="U61" s="112">
        <f>'EU MDM-5000'!F43</f>
        <v>87.199999999999989</v>
      </c>
      <c r="V61" s="112">
        <f>'EU MDM-5000'!H43</f>
        <v>87.199999999999989</v>
      </c>
      <c r="W61" s="112"/>
      <c r="X61" s="111" t="str">
        <f>'EU MDM-5000'!B43</f>
        <v>Max Inst Pk</v>
      </c>
      <c r="Y61" s="112">
        <f>'EU MDM-5000'!D53</f>
        <v>50.4</v>
      </c>
      <c r="Z61" s="112">
        <f>'EU MDM-5000'!F53</f>
        <v>50.4</v>
      </c>
      <c r="AA61" s="112">
        <f>'EU MDM-5000'!H53</f>
        <v>50.4</v>
      </c>
      <c r="AB61" s="112">
        <f>'EU MDM-5000'!J53</f>
        <v>36.799999999999997</v>
      </c>
      <c r="AC61" s="112">
        <f>'EU MDM-5000'!L53</f>
        <v>36.799999999999997</v>
      </c>
      <c r="AD61" s="112">
        <f>'EU MDM-5000'!N53</f>
        <v>36.799999999999997</v>
      </c>
      <c r="AE61"/>
      <c r="AF61"/>
      <c r="AG61"/>
      <c r="AH61"/>
      <c r="AI61"/>
      <c r="AJ61"/>
      <c r="AK61"/>
      <c r="AL61"/>
    </row>
    <row r="62" spans="1:38" x14ac:dyDescent="0.2">
      <c r="A62" s="1"/>
      <c r="B62" s="1"/>
      <c r="C62" s="1"/>
      <c r="D62" s="1"/>
      <c r="E62" s="1"/>
      <c r="F62" s="1"/>
      <c r="G62" s="1"/>
      <c r="H62" s="1"/>
      <c r="I62" s="1"/>
      <c r="J62" s="1"/>
      <c r="K62" s="1"/>
      <c r="L62" s="1"/>
      <c r="M62" s="1"/>
      <c r="N62" s="1"/>
      <c r="O62" s="1"/>
      <c r="P62" s="1"/>
      <c r="Q62" s="559"/>
      <c r="S62" s="111"/>
      <c r="T62" s="112"/>
      <c r="U62" s="112"/>
      <c r="V62" s="112"/>
      <c r="W62" s="112"/>
      <c r="X62" s="111"/>
      <c r="Y62" s="112"/>
      <c r="Z62" s="112"/>
      <c r="AA62" s="112"/>
      <c r="AB62" s="112"/>
      <c r="AC62" s="112"/>
      <c r="AD62" s="112"/>
      <c r="AE62"/>
      <c r="AF62"/>
      <c r="AG62"/>
      <c r="AH62"/>
      <c r="AI62"/>
      <c r="AJ62"/>
      <c r="AK62"/>
      <c r="AL62"/>
    </row>
    <row r="63" spans="1:38" x14ac:dyDescent="0.2">
      <c r="A63" s="1"/>
      <c r="B63" s="1"/>
      <c r="C63" s="1"/>
      <c r="D63" s="1"/>
      <c r="E63" s="1"/>
      <c r="F63" s="1"/>
      <c r="G63" s="1"/>
      <c r="H63" s="1"/>
      <c r="I63" s="1"/>
      <c r="J63" s="1"/>
      <c r="K63" s="1"/>
      <c r="L63" s="1"/>
      <c r="M63" s="1"/>
      <c r="N63" s="1"/>
      <c r="O63" s="1"/>
      <c r="P63" s="1"/>
      <c r="Q63" s="559"/>
      <c r="S63" s="111"/>
      <c r="T63" s="112"/>
      <c r="U63" s="112"/>
      <c r="V63" s="112"/>
      <c r="W63" s="112"/>
      <c r="X63" s="111"/>
      <c r="Y63" s="112"/>
      <c r="Z63" s="112"/>
      <c r="AA63" s="112"/>
      <c r="AB63" s="112"/>
      <c r="AC63" s="112"/>
      <c r="AD63" s="112"/>
      <c r="AE63"/>
      <c r="AF63"/>
      <c r="AG63"/>
      <c r="AH63"/>
      <c r="AI63"/>
      <c r="AJ63"/>
      <c r="AK63"/>
      <c r="AL63"/>
    </row>
    <row r="64" spans="1:38" x14ac:dyDescent="0.2">
      <c r="A64" s="1"/>
      <c r="B64" s="1"/>
      <c r="C64" s="1"/>
      <c r="D64" s="1"/>
      <c r="E64" s="1"/>
      <c r="F64" s="1"/>
      <c r="G64" s="1"/>
      <c r="H64" s="1"/>
      <c r="I64" s="1"/>
      <c r="J64" s="1"/>
      <c r="K64" s="1"/>
      <c r="L64" s="1"/>
      <c r="M64" s="1"/>
      <c r="N64" s="1"/>
      <c r="O64" s="1"/>
      <c r="P64" s="1"/>
      <c r="Q64" s="559"/>
      <c r="S64" s="111" t="s">
        <v>228</v>
      </c>
      <c r="T64" s="112">
        <f>(100*T59)/T57</f>
        <v>89.375</v>
      </c>
      <c r="U64" s="112">
        <f>(100*U59)/U57</f>
        <v>89.375</v>
      </c>
      <c r="V64" s="112">
        <f>(100*V59)/V57</f>
        <v>89.375</v>
      </c>
      <c r="W64" s="112"/>
      <c r="X64" s="111" t="s">
        <v>228</v>
      </c>
      <c r="Y64" s="112">
        <f t="shared" ref="Y64:AD64" si="9">(100*Y59)/Y57</f>
        <v>75</v>
      </c>
      <c r="Z64" s="112">
        <f t="shared" si="9"/>
        <v>75</v>
      </c>
      <c r="AA64" s="112">
        <f t="shared" si="9"/>
        <v>75</v>
      </c>
      <c r="AB64" s="112">
        <f t="shared" si="9"/>
        <v>62.5</v>
      </c>
      <c r="AC64" s="112">
        <f t="shared" si="9"/>
        <v>62.5</v>
      </c>
      <c r="AD64" s="112">
        <f t="shared" si="9"/>
        <v>62.5</v>
      </c>
      <c r="AE64"/>
      <c r="AF64"/>
      <c r="AG64"/>
      <c r="AH64"/>
      <c r="AI64"/>
      <c r="AJ64"/>
      <c r="AK64"/>
      <c r="AL64"/>
    </row>
    <row r="65" spans="1:38" x14ac:dyDescent="0.2">
      <c r="A65" s="1"/>
      <c r="B65" s="1"/>
      <c r="C65" s="1"/>
      <c r="D65" s="1"/>
      <c r="E65" s="1"/>
      <c r="F65" s="1"/>
      <c r="G65" s="1"/>
      <c r="H65" s="1"/>
      <c r="I65" s="1"/>
      <c r="J65" s="1"/>
      <c r="K65" s="1"/>
      <c r="L65" s="1"/>
      <c r="M65" s="1"/>
      <c r="N65" s="1"/>
      <c r="O65" s="1"/>
      <c r="P65" s="1"/>
      <c r="Q65" s="559"/>
      <c r="S65" s="111" t="s">
        <v>229</v>
      </c>
      <c r="T65" s="112">
        <f>T64-100</f>
        <v>-10.625</v>
      </c>
      <c r="U65" s="112">
        <f>U64-100</f>
        <v>-10.625</v>
      </c>
      <c r="V65" s="112">
        <f>V64-100</f>
        <v>-10.625</v>
      </c>
      <c r="W65" s="112"/>
      <c r="X65" s="111" t="s">
        <v>229</v>
      </c>
      <c r="Y65" s="112">
        <f t="shared" ref="Y65:AD65" si="10">Y64-100</f>
        <v>-25</v>
      </c>
      <c r="Z65" s="112">
        <f t="shared" si="10"/>
        <v>-25</v>
      </c>
      <c r="AA65" s="112">
        <f t="shared" si="10"/>
        <v>-25</v>
      </c>
      <c r="AB65" s="112">
        <f t="shared" si="10"/>
        <v>-37.5</v>
      </c>
      <c r="AC65" s="112">
        <f t="shared" si="10"/>
        <v>-37.5</v>
      </c>
      <c r="AD65" s="112">
        <f t="shared" si="10"/>
        <v>-37.5</v>
      </c>
      <c r="AE65"/>
      <c r="AF65"/>
      <c r="AG65"/>
      <c r="AH65"/>
      <c r="AI65"/>
      <c r="AJ65"/>
      <c r="AK65"/>
      <c r="AL65"/>
    </row>
    <row r="66" spans="1:38" x14ac:dyDescent="0.2">
      <c r="A66" s="1"/>
      <c r="B66" s="1"/>
      <c r="C66" s="1"/>
      <c r="D66" s="1"/>
      <c r="E66" s="1"/>
      <c r="F66" s="1"/>
      <c r="G66" s="1"/>
      <c r="H66" s="1"/>
      <c r="I66" s="1"/>
      <c r="J66" s="1"/>
      <c r="K66" s="1"/>
      <c r="L66" s="1"/>
      <c r="M66" s="1"/>
      <c r="N66" s="1"/>
      <c r="O66" s="1"/>
      <c r="P66" s="1"/>
      <c r="Q66" s="559"/>
      <c r="S66" s="111" t="s">
        <v>230</v>
      </c>
      <c r="T66" s="112">
        <f>IF(T65&lt;0,T64,100)</f>
        <v>89.375</v>
      </c>
      <c r="U66" s="112">
        <f>IF(U65&lt;0,U64,100)</f>
        <v>89.375</v>
      </c>
      <c r="V66" s="112">
        <f>IF(V65&lt;0,V64,100)</f>
        <v>89.375</v>
      </c>
      <c r="W66" s="112"/>
      <c r="X66" s="111" t="s">
        <v>230</v>
      </c>
      <c r="Y66" s="112">
        <f t="shared" ref="Y66:AD66" si="11">IF(Y65&lt;0,Y64,100)</f>
        <v>75</v>
      </c>
      <c r="Z66" s="112">
        <f t="shared" si="11"/>
        <v>75</v>
      </c>
      <c r="AA66" s="112">
        <f t="shared" si="11"/>
        <v>75</v>
      </c>
      <c r="AB66" s="112">
        <f t="shared" si="11"/>
        <v>62.5</v>
      </c>
      <c r="AC66" s="112">
        <f t="shared" si="11"/>
        <v>62.5</v>
      </c>
      <c r="AD66" s="112">
        <f t="shared" si="11"/>
        <v>62.5</v>
      </c>
      <c r="AE66"/>
      <c r="AF66"/>
      <c r="AG66"/>
      <c r="AH66"/>
      <c r="AI66"/>
      <c r="AJ66"/>
      <c r="AK66"/>
      <c r="AL66"/>
    </row>
    <row r="67" spans="1:38" x14ac:dyDescent="0.2">
      <c r="A67" s="1"/>
      <c r="B67" s="1"/>
      <c r="C67" s="1"/>
      <c r="D67" s="1"/>
      <c r="E67" s="1"/>
      <c r="F67" s="1"/>
      <c r="G67" s="1"/>
      <c r="H67" s="1"/>
      <c r="I67" s="1"/>
      <c r="J67" s="1"/>
      <c r="K67" s="1"/>
      <c r="L67" s="1"/>
      <c r="M67" s="1"/>
      <c r="N67" s="1"/>
      <c r="O67" s="1"/>
      <c r="P67" s="1"/>
      <c r="Q67" s="559"/>
      <c r="S67" s="111" t="s">
        <v>231</v>
      </c>
      <c r="T67" s="112" t="e">
        <f>IF(T64&gt;100,T64-T66,NA())</f>
        <v>#N/A</v>
      </c>
      <c r="U67" s="112" t="e">
        <f>IF(U64&gt;100,U64-U66,NA())</f>
        <v>#N/A</v>
      </c>
      <c r="V67" s="112" t="e">
        <f>IF(V64&gt;100,V64-V66,NA())</f>
        <v>#N/A</v>
      </c>
      <c r="W67" s="112"/>
      <c r="X67" s="111" t="s">
        <v>231</v>
      </c>
      <c r="Y67" s="112" t="e">
        <f t="shared" ref="Y67:AD67" si="12">IF(Y64&gt;100,Y64-Y66,NA())</f>
        <v>#N/A</v>
      </c>
      <c r="Z67" s="112" t="e">
        <f t="shared" si="12"/>
        <v>#N/A</v>
      </c>
      <c r="AA67" s="112" t="e">
        <f t="shared" si="12"/>
        <v>#N/A</v>
      </c>
      <c r="AB67" s="112" t="e">
        <f t="shared" si="12"/>
        <v>#N/A</v>
      </c>
      <c r="AC67" s="112" t="e">
        <f t="shared" si="12"/>
        <v>#N/A</v>
      </c>
      <c r="AD67" s="112" t="e">
        <f t="shared" si="12"/>
        <v>#N/A</v>
      </c>
      <c r="AE67"/>
      <c r="AF67"/>
      <c r="AG67"/>
      <c r="AH67"/>
      <c r="AI67"/>
      <c r="AJ67"/>
      <c r="AK67"/>
      <c r="AL67"/>
    </row>
    <row r="68" spans="1:38" x14ac:dyDescent="0.2">
      <c r="A68" s="1"/>
      <c r="B68" s="1"/>
      <c r="C68" s="1"/>
      <c r="D68" s="1"/>
      <c r="E68" s="1"/>
      <c r="F68" s="1"/>
      <c r="G68" s="1"/>
      <c r="H68" s="1"/>
      <c r="I68" s="1"/>
      <c r="J68" s="1"/>
      <c r="K68" s="1"/>
      <c r="L68" s="1"/>
      <c r="M68" s="1"/>
      <c r="N68" s="1"/>
      <c r="O68" s="1"/>
      <c r="P68" s="1"/>
      <c r="Q68" s="559"/>
      <c r="S68" s="111"/>
      <c r="T68" s="112"/>
      <c r="U68" s="112"/>
      <c r="V68" s="112"/>
      <c r="W68" s="112"/>
      <c r="X68" s="111" t="s">
        <v>232</v>
      </c>
      <c r="Y68" s="112">
        <f>Data!$AC$13</f>
        <v>10</v>
      </c>
      <c r="Z68" s="112">
        <f>Data!$AC$13</f>
        <v>10</v>
      </c>
      <c r="AA68" s="112">
        <f>Data!$AC$13</f>
        <v>10</v>
      </c>
      <c r="AB68" s="112">
        <f>Data!$AC$13</f>
        <v>10</v>
      </c>
      <c r="AC68" s="112">
        <f>Data!$AC$13</f>
        <v>10</v>
      </c>
      <c r="AD68" s="112">
        <f>Data!$AC$13</f>
        <v>10</v>
      </c>
      <c r="AE68"/>
      <c r="AF68"/>
      <c r="AG68"/>
      <c r="AH68"/>
      <c r="AI68"/>
      <c r="AJ68"/>
      <c r="AK68"/>
      <c r="AL68"/>
    </row>
    <row r="69" spans="1:38" x14ac:dyDescent="0.2">
      <c r="A69" s="1"/>
      <c r="B69" s="1"/>
      <c r="C69" s="1"/>
      <c r="D69" s="1"/>
      <c r="E69" s="1"/>
      <c r="F69" s="1"/>
      <c r="G69" s="1"/>
      <c r="H69" s="1"/>
      <c r="I69" s="1"/>
      <c r="J69" s="1"/>
      <c r="K69" s="1"/>
      <c r="L69" s="1"/>
      <c r="M69" s="1"/>
      <c r="N69" s="1"/>
      <c r="O69" s="1"/>
      <c r="P69" s="1"/>
      <c r="Q69" s="559"/>
      <c r="S69" s="111"/>
      <c r="T69" s="112"/>
      <c r="U69" s="112"/>
      <c r="V69" s="112"/>
      <c r="W69" s="112"/>
      <c r="X69" s="111" t="s">
        <v>233</v>
      </c>
      <c r="Y69" s="113">
        <f>-'EU MDM-5000'!D59</f>
        <v>-6.3219035490848761</v>
      </c>
      <c r="Z69" s="113">
        <f>-'EU MDM-5000'!F59</f>
        <v>-6.3219035490848761</v>
      </c>
      <c r="AA69" s="113">
        <f>-'EU MDM-5000'!H59</f>
        <v>-6.3219035490848761</v>
      </c>
      <c r="AB69" s="113">
        <f>-'EU MDM-5000'!J59</f>
        <v>-4.6159930675857819</v>
      </c>
      <c r="AC69" s="113">
        <f>-'EU MDM-5000'!L59</f>
        <v>-4.6159930675857819</v>
      </c>
      <c r="AD69" s="113">
        <f>-'EU MDM-5000'!N59</f>
        <v>-4.6159930675857819</v>
      </c>
      <c r="AE69"/>
      <c r="AF69"/>
      <c r="AG69"/>
      <c r="AH69"/>
      <c r="AI69"/>
      <c r="AJ69"/>
      <c r="AK69"/>
      <c r="AL69"/>
    </row>
    <row r="70" spans="1:38" x14ac:dyDescent="0.2">
      <c r="A70" s="1"/>
      <c r="B70" s="1"/>
      <c r="C70" s="1"/>
      <c r="D70" s="1"/>
      <c r="E70" s="1"/>
      <c r="F70" s="1"/>
      <c r="G70" s="1"/>
      <c r="H70" s="1"/>
      <c r="I70" s="1"/>
      <c r="J70" s="1"/>
      <c r="K70" s="1"/>
      <c r="L70" s="1"/>
      <c r="M70" s="1"/>
      <c r="N70" s="1"/>
      <c r="O70" s="1"/>
      <c r="P70" s="1"/>
      <c r="Q70" s="559"/>
      <c r="S70" s="111"/>
      <c r="T70" s="112"/>
      <c r="U70" s="112"/>
      <c r="V70" s="112"/>
      <c r="W70" s="112"/>
      <c r="X70" s="111" t="s">
        <v>234</v>
      </c>
      <c r="Y70" s="112">
        <f t="shared" ref="Y70:AD70" si="13">IF(Y69&gt;-Y68,Y69,-Y68)</f>
        <v>-6.3219035490848761</v>
      </c>
      <c r="Z70" s="112">
        <f t="shared" si="13"/>
        <v>-6.3219035490848761</v>
      </c>
      <c r="AA70" s="112">
        <f t="shared" si="13"/>
        <v>-6.3219035490848761</v>
      </c>
      <c r="AB70" s="112">
        <f t="shared" si="13"/>
        <v>-4.6159930675857819</v>
      </c>
      <c r="AC70" s="112">
        <f t="shared" si="13"/>
        <v>-4.6159930675857819</v>
      </c>
      <c r="AD70" s="112">
        <f t="shared" si="13"/>
        <v>-4.6159930675857819</v>
      </c>
      <c r="AE70"/>
      <c r="AF70"/>
      <c r="AG70"/>
      <c r="AH70"/>
      <c r="AI70"/>
      <c r="AJ70"/>
      <c r="AK70"/>
      <c r="AL70"/>
    </row>
    <row r="71" spans="1:38" x14ac:dyDescent="0.2">
      <c r="A71" s="1"/>
      <c r="B71" s="1"/>
      <c r="C71" s="1"/>
      <c r="D71" s="1"/>
      <c r="E71" s="1"/>
      <c r="F71" s="1"/>
      <c r="G71" s="1"/>
      <c r="H71" s="1"/>
      <c r="I71" s="1"/>
      <c r="J71" s="1"/>
      <c r="K71" s="1"/>
      <c r="L71" s="1"/>
      <c r="M71" s="1"/>
      <c r="N71" s="1"/>
      <c r="O71" s="1"/>
      <c r="P71" s="1"/>
      <c r="Q71" s="559"/>
      <c r="S71" s="111"/>
      <c r="T71" s="112"/>
      <c r="U71" s="112"/>
      <c r="V71" s="112"/>
      <c r="W71" s="112"/>
      <c r="X71" s="111" t="s">
        <v>235</v>
      </c>
      <c r="Y71" s="112" t="e">
        <f t="shared" ref="Y71:AD71" si="14">IF(Y69&gt;-Y68,NA(),Y69+Y68)</f>
        <v>#N/A</v>
      </c>
      <c r="Z71" s="112" t="e">
        <f t="shared" si="14"/>
        <v>#N/A</v>
      </c>
      <c r="AA71" s="112" t="e">
        <f t="shared" si="14"/>
        <v>#N/A</v>
      </c>
      <c r="AB71" s="112" t="e">
        <f t="shared" si="14"/>
        <v>#N/A</v>
      </c>
      <c r="AC71" s="112" t="e">
        <f t="shared" si="14"/>
        <v>#N/A</v>
      </c>
      <c r="AD71" s="112" t="e">
        <f t="shared" si="14"/>
        <v>#N/A</v>
      </c>
      <c r="AE71"/>
      <c r="AF71"/>
      <c r="AG71"/>
      <c r="AH71"/>
      <c r="AI71"/>
      <c r="AJ71"/>
      <c r="AK71"/>
      <c r="AL71"/>
    </row>
    <row r="72" spans="1:38" x14ac:dyDescent="0.2">
      <c r="A72" s="1"/>
      <c r="B72" s="1"/>
      <c r="C72" s="1"/>
      <c r="D72" s="1"/>
      <c r="E72" s="1"/>
      <c r="F72" s="1"/>
      <c r="G72" s="1"/>
      <c r="H72" s="1"/>
      <c r="I72" s="1"/>
      <c r="J72" s="1"/>
      <c r="K72" s="1"/>
      <c r="L72" s="1"/>
      <c r="M72" s="1"/>
      <c r="N72" s="1"/>
      <c r="O72" s="1"/>
      <c r="P72" s="1"/>
      <c r="Q72" s="559"/>
      <c r="S72" s="111"/>
      <c r="T72" s="112"/>
      <c r="U72" s="112"/>
      <c r="V72" s="112"/>
      <c r="W72" s="112"/>
      <c r="X72" s="111"/>
      <c r="Y72" s="112"/>
      <c r="Z72" s="112"/>
      <c r="AA72" s="112"/>
      <c r="AB72" s="112"/>
      <c r="AC72" s="112"/>
      <c r="AD72" s="112"/>
      <c r="AE72"/>
      <c r="AF72"/>
      <c r="AG72"/>
      <c r="AH72"/>
      <c r="AI72"/>
      <c r="AJ72"/>
      <c r="AK72"/>
      <c r="AL72"/>
    </row>
    <row r="73" spans="1:38" x14ac:dyDescent="0.2">
      <c r="A73" s="1"/>
      <c r="B73" s="1"/>
      <c r="C73" s="1"/>
      <c r="D73" s="1"/>
      <c r="E73" s="1"/>
      <c r="F73" s="1"/>
      <c r="G73" s="1"/>
      <c r="H73" s="1"/>
      <c r="I73" s="1"/>
      <c r="J73" s="1"/>
      <c r="K73" s="1"/>
      <c r="L73" s="1"/>
      <c r="M73" s="1"/>
      <c r="N73" s="1"/>
      <c r="O73" s="1"/>
      <c r="P73" s="1"/>
      <c r="AE73"/>
      <c r="AF73"/>
      <c r="AG73"/>
      <c r="AH73"/>
      <c r="AI73"/>
      <c r="AJ73"/>
      <c r="AK73"/>
      <c r="AL73"/>
    </row>
    <row r="74" spans="1:38" ht="17" thickBot="1" x14ac:dyDescent="0.25">
      <c r="A74" s="1"/>
      <c r="B74" s="71" t="str">
        <f>Data!$T$1</f>
        <v>Meyer Sound Laboratories, Inc. Berkeley, California, USA                                 www.meyersound.com</v>
      </c>
      <c r="C74" s="1"/>
      <c r="D74" s="1"/>
      <c r="E74" s="1"/>
      <c r="F74" s="1"/>
      <c r="G74" s="1"/>
      <c r="H74" s="1"/>
      <c r="I74" s="1"/>
      <c r="J74" s="1"/>
      <c r="K74" s="1"/>
      <c r="L74" s="1"/>
      <c r="M74" s="1"/>
      <c r="N74" s="1"/>
      <c r="O74" s="1"/>
      <c r="P74" s="126" t="str">
        <f>Data!$G$1</f>
        <v>© 2021</v>
      </c>
      <c r="AE74"/>
      <c r="AF74"/>
      <c r="AG74"/>
      <c r="AH74"/>
      <c r="AI74"/>
      <c r="AJ74"/>
      <c r="AK74"/>
      <c r="AL74"/>
    </row>
    <row r="75" spans="1:38" x14ac:dyDescent="0.2">
      <c r="A75" s="133"/>
      <c r="B75" s="133"/>
      <c r="C75" s="133"/>
      <c r="D75" s="133"/>
      <c r="E75" s="133"/>
      <c r="F75" s="133"/>
      <c r="G75" s="133"/>
      <c r="H75" s="133"/>
      <c r="I75" s="133"/>
      <c r="J75" s="133"/>
      <c r="K75" s="133"/>
      <c r="L75" s="133"/>
      <c r="M75" s="133"/>
      <c r="N75" s="133"/>
      <c r="O75" s="163" t="str">
        <f>Data!$M$1</f>
        <v>06.257.005.01 C</v>
      </c>
      <c r="P75" s="133"/>
      <c r="T75"/>
      <c r="U75"/>
      <c r="V75"/>
      <c r="W75"/>
      <c r="X75"/>
      <c r="Y75"/>
      <c r="Z75"/>
      <c r="AA75"/>
      <c r="AB75"/>
      <c r="AC75"/>
      <c r="AD75"/>
      <c r="AE75"/>
      <c r="AF75"/>
      <c r="AG75"/>
      <c r="AH75"/>
      <c r="AI75"/>
      <c r="AJ75"/>
      <c r="AK75"/>
      <c r="AL75"/>
    </row>
    <row r="76" spans="1:38" x14ac:dyDescent="0.2">
      <c r="A76" s="1"/>
      <c r="B76" s="10" t="s">
        <v>192</v>
      </c>
      <c r="C76" s="1"/>
      <c r="D76" s="11" t="s">
        <v>166</v>
      </c>
      <c r="E76" s="138">
        <f>'Master EU'!$D$4</f>
        <v>230</v>
      </c>
      <c r="F76" s="11" t="s">
        <v>167</v>
      </c>
      <c r="G76" s="138">
        <f>'Master EU'!$G$4</f>
        <v>230</v>
      </c>
      <c r="H76" s="11" t="s">
        <v>168</v>
      </c>
      <c r="I76" s="332">
        <f>'Master EU'!$J$4</f>
        <v>230</v>
      </c>
      <c r="J76" s="570" t="s">
        <v>193</v>
      </c>
      <c r="K76" s="570"/>
      <c r="L76" s="335" t="s">
        <v>194</v>
      </c>
      <c r="M76" s="27"/>
      <c r="N76" s="31">
        <v>2.5</v>
      </c>
      <c r="O76" s="30" t="s">
        <v>107</v>
      </c>
      <c r="P76" s="1"/>
      <c r="T76"/>
      <c r="U76"/>
      <c r="V76"/>
      <c r="W76"/>
      <c r="X76"/>
      <c r="Y76"/>
      <c r="Z76"/>
      <c r="AA76"/>
      <c r="AB76"/>
      <c r="AC76"/>
      <c r="AD76"/>
      <c r="AE76"/>
      <c r="AF76"/>
      <c r="AG76"/>
      <c r="AH76"/>
      <c r="AI76"/>
      <c r="AJ76"/>
      <c r="AK76"/>
      <c r="AL76"/>
    </row>
    <row r="77" spans="1:38" ht="5" customHeight="1" x14ac:dyDescent="0.25">
      <c r="A77" s="1"/>
      <c r="B77" s="2"/>
      <c r="C77" s="1"/>
      <c r="D77" s="5"/>
      <c r="E77" s="40">
        <v>230</v>
      </c>
      <c r="F77" s="5"/>
      <c r="G77" s="40"/>
      <c r="H77" s="5"/>
      <c r="I77" s="8"/>
      <c r="J77" s="400">
        <f>(((D79)*E76)/1000)+(((F79)*G76)/1000)+(((H79)*I76)/1000)</f>
        <v>25.667999999999999</v>
      </c>
      <c r="K77" s="400" t="s">
        <v>196</v>
      </c>
      <c r="L77" s="1"/>
      <c r="M77" s="1"/>
      <c r="N77" s="1"/>
      <c r="O77" s="1"/>
      <c r="P77" s="1"/>
      <c r="T77"/>
      <c r="U77"/>
      <c r="V77"/>
      <c r="W77"/>
      <c r="X77"/>
      <c r="Y77"/>
      <c r="Z77"/>
      <c r="AA77"/>
      <c r="AB77"/>
      <c r="AC77"/>
      <c r="AD77"/>
      <c r="AE77"/>
      <c r="AF77"/>
      <c r="AG77"/>
      <c r="AH77"/>
      <c r="AI77"/>
      <c r="AJ77"/>
      <c r="AK77"/>
      <c r="AL77"/>
    </row>
    <row r="78" spans="1:38" ht="16" customHeight="1" x14ac:dyDescent="0.2">
      <c r="A78" s="1"/>
      <c r="B78" s="23" t="str">
        <f>_xlfn.TEXTJOIN("",FALSE,"MLTC + ",'Master EU'!D11,"%")</f>
        <v>MLTC + 30%</v>
      </c>
      <c r="C78" s="1"/>
      <c r="D78" s="25">
        <f>(D88+J88)*(1+('Master EU'!D11/100))</f>
        <v>28.6</v>
      </c>
      <c r="E78" s="41" t="str">
        <f>IF(D78&gt;Data!$AC$6,"&lt;OVER!","A RMS")</f>
        <v>A RMS</v>
      </c>
      <c r="F78" s="25">
        <f>(F88+L88)*(1+('Master EU'!D11/100))</f>
        <v>28.6</v>
      </c>
      <c r="G78" s="41" t="str">
        <f>IF(F78&gt;Data!$AC$6,"&lt;OVER!","A RMS")</f>
        <v>A RMS</v>
      </c>
      <c r="H78" s="25">
        <f>(H88+N88)*(1+('Master EU'!D11/100))</f>
        <v>28.6</v>
      </c>
      <c r="I78" s="333" t="str">
        <f>IF(H78&gt;Data!$AC$6,"&lt;OVER!","A RMS")</f>
        <v>A RMS</v>
      </c>
      <c r="J78" s="550" t="s">
        <v>197</v>
      </c>
      <c r="K78" s="551"/>
      <c r="L78" s="552"/>
      <c r="M78" s="562" t="str">
        <f>IF('EU MDM-5000'!S84&gt;0,"N O !","O K")</f>
        <v>O K</v>
      </c>
      <c r="N78" s="563"/>
      <c r="O78" s="568">
        <v>3</v>
      </c>
      <c r="P78" s="569"/>
      <c r="R78" s="109" t="s">
        <v>198</v>
      </c>
      <c r="T78"/>
      <c r="U78"/>
      <c r="V78"/>
      <c r="W78"/>
      <c r="X78"/>
      <c r="Y78"/>
      <c r="Z78"/>
      <c r="AA78"/>
      <c r="AB78"/>
      <c r="AC78"/>
      <c r="AD78"/>
      <c r="AE78"/>
      <c r="AF78"/>
      <c r="AG78"/>
      <c r="AH78"/>
      <c r="AI78"/>
      <c r="AJ78"/>
      <c r="AK78"/>
      <c r="AL78"/>
    </row>
    <row r="79" spans="1:38" ht="15" customHeight="1" x14ac:dyDescent="0.2">
      <c r="A79" s="1"/>
      <c r="B79" s="23" t="s">
        <v>199</v>
      </c>
      <c r="C79" s="1"/>
      <c r="D79" s="25">
        <f>D89+J89</f>
        <v>37.200000000000003</v>
      </c>
      <c r="E79" s="41" t="s">
        <v>116</v>
      </c>
      <c r="F79" s="25">
        <f>F89+L89</f>
        <v>37.200000000000003</v>
      </c>
      <c r="G79" s="41" t="s">
        <v>116</v>
      </c>
      <c r="H79" s="25">
        <f>H89+N89</f>
        <v>37.200000000000003</v>
      </c>
      <c r="I79" s="333" t="s">
        <v>116</v>
      </c>
      <c r="J79" s="551"/>
      <c r="K79" s="551"/>
      <c r="L79" s="552"/>
      <c r="M79" s="564"/>
      <c r="N79" s="565"/>
      <c r="O79" s="568"/>
      <c r="P79" s="569"/>
      <c r="R79" s="109" t="s">
        <v>162</v>
      </c>
      <c r="S79" s="109">
        <f>IF(OR('EU MDM-5000'!D78&gt;Data!$AC$6,'EU MDM-5000'!F78&gt;Data!$AC$6,'EU MDM-5000'!H78&gt;Data!$AC$6),1,0)</f>
        <v>0</v>
      </c>
      <c r="T79"/>
      <c r="U79"/>
      <c r="V79"/>
      <c r="W79"/>
      <c r="X79"/>
      <c r="Y79"/>
      <c r="Z79"/>
      <c r="AA79"/>
      <c r="AB79"/>
      <c r="AC79"/>
      <c r="AD79"/>
      <c r="AE79"/>
      <c r="AF79"/>
      <c r="AG79"/>
      <c r="AH79"/>
      <c r="AI79"/>
      <c r="AJ79"/>
      <c r="AK79"/>
      <c r="AL79"/>
    </row>
    <row r="80" spans="1:38" ht="15" customHeight="1" x14ac:dyDescent="0.2">
      <c r="A80" s="1"/>
      <c r="B80" s="24" t="s">
        <v>200</v>
      </c>
      <c r="C80" s="1"/>
      <c r="D80" s="26">
        <f>D90+J90</f>
        <v>87.199999999999989</v>
      </c>
      <c r="E80" s="42" t="s">
        <v>117</v>
      </c>
      <c r="F80" s="26">
        <f>F90+L90</f>
        <v>87.199999999999989</v>
      </c>
      <c r="G80" s="42" t="s">
        <v>117</v>
      </c>
      <c r="H80" s="26">
        <f>H90+N90</f>
        <v>87.199999999999989</v>
      </c>
      <c r="I80" s="334" t="s">
        <v>117</v>
      </c>
      <c r="J80" s="551"/>
      <c r="K80" s="551"/>
      <c r="L80" s="552"/>
      <c r="M80" s="566"/>
      <c r="N80" s="567"/>
      <c r="O80" s="568"/>
      <c r="P80" s="569"/>
      <c r="R80" s="109" t="s">
        <v>201</v>
      </c>
      <c r="S80" s="109">
        <f>IF(OR('EU MDM-5000'!D88&gt;Data!$AC$7,'EU MDM-5000'!F88&gt;Data!$AC$7,'EU MDM-5000'!H88&gt;Data!$AC$7,'EU MDM-5000'!J88&gt;Data!$AC$7,'EU MDM-5000'!L88&gt;Data!$AC$7,'EU MDM-5000'!N88&gt;Data!$AC$7),1,0)</f>
        <v>0</v>
      </c>
      <c r="T80"/>
      <c r="U80"/>
      <c r="V80"/>
      <c r="W80"/>
      <c r="X80"/>
      <c r="Y80"/>
      <c r="Z80"/>
      <c r="AA80"/>
      <c r="AB80"/>
      <c r="AC80"/>
      <c r="AD80"/>
      <c r="AE80"/>
      <c r="AF80"/>
      <c r="AG80"/>
      <c r="AH80"/>
      <c r="AI80"/>
      <c r="AJ80"/>
      <c r="AK80"/>
      <c r="AL80"/>
    </row>
    <row r="81" spans="1:38" ht="8" customHeight="1" thickBot="1" x14ac:dyDescent="0.25">
      <c r="A81" s="1"/>
      <c r="B81" s="1"/>
      <c r="C81" s="1"/>
      <c r="D81" s="1"/>
      <c r="E81" s="1"/>
      <c r="F81" s="1"/>
      <c r="G81" s="1"/>
      <c r="H81" s="1"/>
      <c r="I81" s="1"/>
      <c r="J81" s="1"/>
      <c r="K81" s="1"/>
      <c r="L81" s="1"/>
      <c r="M81" s="1"/>
      <c r="N81" s="1"/>
      <c r="O81" s="1"/>
      <c r="P81" s="1"/>
      <c r="R81" s="109" t="s">
        <v>202</v>
      </c>
      <c r="S81" s="109">
        <f>IF(OR('EU MDM-5000'!D90&gt;Data!$AC$8,'EU MDM-5000'!F90&gt;Data!$AC$8,'EU MDM-5000'!H90&gt;Data!$AC$8,'EU MDM-5000'!J90&gt;Data!$AC$8,'EU MDM-5000'!L90&gt;Data!$AC$8,'EU MDM-5000'!N90&gt;Data!$AC$8),1,0)</f>
        <v>0</v>
      </c>
      <c r="T81"/>
      <c r="U81"/>
      <c r="V81"/>
      <c r="W81"/>
      <c r="X81"/>
      <c r="Y81"/>
      <c r="Z81"/>
      <c r="AA81"/>
      <c r="AB81"/>
      <c r="AC81"/>
      <c r="AD81"/>
      <c r="AE81"/>
      <c r="AF81"/>
      <c r="AG81"/>
      <c r="AH81"/>
      <c r="AI81"/>
      <c r="AJ81"/>
      <c r="AK81"/>
      <c r="AL81"/>
    </row>
    <row r="82" spans="1:38" x14ac:dyDescent="0.2">
      <c r="A82" s="1"/>
      <c r="B82" s="10" t="s">
        <v>203</v>
      </c>
      <c r="C82" s="1"/>
      <c r="D82" s="560">
        <v>1</v>
      </c>
      <c r="E82" s="561"/>
      <c r="F82" s="553">
        <v>2</v>
      </c>
      <c r="G82" s="561"/>
      <c r="H82" s="553">
        <v>3</v>
      </c>
      <c r="I82" s="561"/>
      <c r="J82" s="553">
        <v>4</v>
      </c>
      <c r="K82" s="561"/>
      <c r="L82" s="553">
        <v>5</v>
      </c>
      <c r="M82" s="561"/>
      <c r="N82" s="553">
        <v>6</v>
      </c>
      <c r="O82" s="554"/>
      <c r="P82" s="1"/>
      <c r="R82" s="109" t="s">
        <v>204</v>
      </c>
      <c r="S82" s="109">
        <f>IF(OR('EU MDM-5000'!D96&gt;Data!$AC$13,'EU MDM-5000'!F96&gt;Data!$AC$13,'EU MDM-5000'!H96&gt;Data!$AC$13,'EU MDM-5000'!J96&gt;Data!$AC$13,'EU MDM-5000'!L96&gt;Data!$AC$13,'EU MDM-5000'!N96&gt;Data!$AC$13),1,0)</f>
        <v>0</v>
      </c>
      <c r="T82"/>
      <c r="U82"/>
      <c r="V82"/>
      <c r="W82"/>
      <c r="X82"/>
      <c r="Y82"/>
      <c r="Z82"/>
      <c r="AA82"/>
      <c r="AB82"/>
      <c r="AC82"/>
      <c r="AD82"/>
      <c r="AE82"/>
      <c r="AF82"/>
      <c r="AG82"/>
      <c r="AH82"/>
      <c r="AI82"/>
      <c r="AJ82"/>
      <c r="AK82"/>
      <c r="AL82"/>
    </row>
    <row r="83" spans="1:38" x14ac:dyDescent="0.2">
      <c r="A83" s="1"/>
      <c r="B83" s="23" t="s">
        <v>205</v>
      </c>
      <c r="C83" s="1"/>
      <c r="D83" s="32" t="s">
        <v>236</v>
      </c>
      <c r="E83" s="33">
        <v>8</v>
      </c>
      <c r="F83" s="34" t="s">
        <v>236</v>
      </c>
      <c r="G83" s="33">
        <v>8</v>
      </c>
      <c r="H83" s="34" t="s">
        <v>238</v>
      </c>
      <c r="I83" s="33">
        <v>8</v>
      </c>
      <c r="J83" s="34" t="s">
        <v>237</v>
      </c>
      <c r="K83" s="33">
        <v>4</v>
      </c>
      <c r="L83" s="34" t="s">
        <v>237</v>
      </c>
      <c r="M83" s="33">
        <v>4</v>
      </c>
      <c r="N83" s="34" t="s">
        <v>237</v>
      </c>
      <c r="O83" s="35">
        <v>4</v>
      </c>
      <c r="P83" s="1"/>
      <c r="T83"/>
      <c r="U83"/>
      <c r="V83"/>
      <c r="W83"/>
      <c r="X83"/>
      <c r="Y83"/>
      <c r="Z83"/>
      <c r="AA83"/>
      <c r="AB83"/>
      <c r="AC83"/>
      <c r="AD83"/>
      <c r="AE83"/>
      <c r="AF83"/>
      <c r="AG83"/>
      <c r="AH83"/>
      <c r="AI83"/>
      <c r="AJ83"/>
      <c r="AK83"/>
      <c r="AL83"/>
    </row>
    <row r="84" spans="1:38" x14ac:dyDescent="0.2">
      <c r="A84" s="1"/>
      <c r="B84" s="23" t="s">
        <v>205</v>
      </c>
      <c r="C84" s="1"/>
      <c r="D84" s="36" t="s">
        <v>127</v>
      </c>
      <c r="E84" s="33">
        <v>0</v>
      </c>
      <c r="F84" s="37" t="s">
        <v>127</v>
      </c>
      <c r="G84" s="33">
        <v>0</v>
      </c>
      <c r="H84" s="37" t="s">
        <v>127</v>
      </c>
      <c r="I84" s="33">
        <v>0</v>
      </c>
      <c r="J84" s="37" t="s">
        <v>127</v>
      </c>
      <c r="K84" s="33">
        <v>0</v>
      </c>
      <c r="L84" s="37" t="s">
        <v>127</v>
      </c>
      <c r="M84" s="33">
        <v>0</v>
      </c>
      <c r="N84" s="37" t="s">
        <v>127</v>
      </c>
      <c r="O84" s="35">
        <v>0</v>
      </c>
      <c r="P84" s="1"/>
      <c r="R84" s="109" t="s">
        <v>208</v>
      </c>
      <c r="S84" s="109">
        <f>SUM(S79:S82)</f>
        <v>0</v>
      </c>
      <c r="T84"/>
      <c r="U84"/>
      <c r="V84"/>
      <c r="W84"/>
      <c r="X84"/>
      <c r="Y84"/>
      <c r="Z84"/>
      <c r="AA84"/>
      <c r="AB84"/>
      <c r="AC84"/>
      <c r="AD84"/>
      <c r="AE84">
        <f t="shared" ref="AE84:AJ85" si="15">IF(OR(AND($D83=AE$1,$E83&gt;0),AND($F83=AE$1,$G83&gt;0),AND($H83=AE$1,$I83&gt;0),AND($J83=AE$1,$K83&gt;0),AND($L83=AE$1,$M83&gt;0),AND($N83=AE$1,$O83&gt;0)),1,0)</f>
        <v>0</v>
      </c>
      <c r="AF84">
        <f t="shared" si="15"/>
        <v>0</v>
      </c>
      <c r="AG84">
        <f t="shared" si="15"/>
        <v>0</v>
      </c>
      <c r="AH84">
        <f t="shared" si="15"/>
        <v>0</v>
      </c>
      <c r="AI84">
        <f t="shared" si="15"/>
        <v>0</v>
      </c>
      <c r="AJ84">
        <f t="shared" si="15"/>
        <v>0</v>
      </c>
      <c r="AK84"/>
      <c r="AL84"/>
    </row>
    <row r="85" spans="1:38" x14ac:dyDescent="0.2">
      <c r="A85" s="1"/>
      <c r="B85" s="23" t="s">
        <v>121</v>
      </c>
      <c r="C85" s="1"/>
      <c r="D85" s="38">
        <v>30</v>
      </c>
      <c r="E85" s="29" t="s">
        <v>209</v>
      </c>
      <c r="F85" s="39">
        <v>30</v>
      </c>
      <c r="G85" s="29" t="s">
        <v>209</v>
      </c>
      <c r="H85" s="39">
        <v>30</v>
      </c>
      <c r="I85" s="29" t="s">
        <v>209</v>
      </c>
      <c r="J85" s="39">
        <v>30</v>
      </c>
      <c r="K85" s="29" t="s">
        <v>209</v>
      </c>
      <c r="L85" s="39">
        <v>30</v>
      </c>
      <c r="M85" s="29" t="s">
        <v>209</v>
      </c>
      <c r="N85" s="39">
        <v>30</v>
      </c>
      <c r="O85" s="28" t="s">
        <v>209</v>
      </c>
      <c r="P85" s="1"/>
      <c r="T85"/>
      <c r="U85"/>
      <c r="V85"/>
      <c r="W85"/>
      <c r="X85"/>
      <c r="Y85"/>
      <c r="Z85"/>
      <c r="AA85"/>
      <c r="AB85"/>
      <c r="AC85"/>
      <c r="AD85"/>
      <c r="AE85">
        <f t="shared" si="15"/>
        <v>0</v>
      </c>
      <c r="AF85">
        <f t="shared" si="15"/>
        <v>0</v>
      </c>
      <c r="AG85">
        <f t="shared" si="15"/>
        <v>0</v>
      </c>
      <c r="AH85">
        <f t="shared" si="15"/>
        <v>0</v>
      </c>
      <c r="AI85">
        <f t="shared" si="15"/>
        <v>0</v>
      </c>
      <c r="AJ85">
        <f t="shared" si="15"/>
        <v>0</v>
      </c>
      <c r="AK85"/>
      <c r="AL85"/>
    </row>
    <row r="86" spans="1:38" ht="11" customHeight="1" x14ac:dyDescent="0.2">
      <c r="A86" s="1"/>
      <c r="B86" s="2"/>
      <c r="C86" s="1"/>
      <c r="D86" s="555" t="s">
        <v>210</v>
      </c>
      <c r="E86" s="556"/>
      <c r="F86" s="556"/>
      <c r="G86" s="556"/>
      <c r="H86" s="556"/>
      <c r="I86" s="556"/>
      <c r="J86" s="557" t="s">
        <v>210</v>
      </c>
      <c r="K86" s="556"/>
      <c r="L86" s="556"/>
      <c r="M86" s="556"/>
      <c r="N86" s="556"/>
      <c r="O86" s="558"/>
      <c r="P86" s="1"/>
      <c r="T86"/>
      <c r="U86"/>
      <c r="V86"/>
      <c r="W86"/>
      <c r="X86"/>
      <c r="Y86"/>
      <c r="Z86"/>
      <c r="AA86"/>
      <c r="AB86"/>
      <c r="AC86"/>
      <c r="AD86"/>
      <c r="AE86"/>
      <c r="AF86"/>
      <c r="AG86"/>
      <c r="AH86"/>
      <c r="AI86"/>
      <c r="AJ86"/>
      <c r="AK86"/>
      <c r="AL86"/>
    </row>
    <row r="87" spans="1:38" ht="6" customHeight="1" x14ac:dyDescent="0.2">
      <c r="A87" s="1"/>
      <c r="B87" s="2"/>
      <c r="C87" s="1"/>
      <c r="D87" s="3"/>
      <c r="E87" s="4"/>
      <c r="F87" s="5"/>
      <c r="G87" s="4"/>
      <c r="H87" s="5"/>
      <c r="I87" s="4"/>
      <c r="J87" s="5"/>
      <c r="K87" s="4"/>
      <c r="L87" s="5"/>
      <c r="M87" s="4"/>
      <c r="N87" s="5"/>
      <c r="O87" s="6"/>
      <c r="P87" s="1"/>
      <c r="T87"/>
      <c r="U87"/>
      <c r="V87"/>
      <c r="W87"/>
      <c r="X87"/>
      <c r="Y87"/>
      <c r="Z87"/>
      <c r="AA87"/>
      <c r="AB87"/>
      <c r="AC87"/>
      <c r="AD87"/>
      <c r="AE87"/>
      <c r="AF87"/>
      <c r="AG87"/>
      <c r="AH87"/>
      <c r="AI87"/>
      <c r="AJ87"/>
      <c r="AK87"/>
      <c r="AL87"/>
    </row>
    <row r="88" spans="1:38" x14ac:dyDescent="0.2">
      <c r="A88" s="1"/>
      <c r="B88" s="23" t="s">
        <v>211</v>
      </c>
      <c r="C88" s="1"/>
      <c r="D88" s="12">
        <f>(((VLOOKUP($D83,Data!$R$4:$U$69,2,FALSE)*$E83)+(VLOOKUP($D84,Data!$R$4:$U$69,2,FALSE)*$E84))/E76)*Data!$R$3</f>
        <v>12</v>
      </c>
      <c r="E88" s="13" t="str">
        <f>IF(D88&gt;Data!$AC$7,"&lt;OVER!","A RMS")</f>
        <v>A RMS</v>
      </c>
      <c r="F88" s="14">
        <f>(((VLOOKUP($F83,Data!$R$4:$U$69,2,FALSE)*$G83)+(VLOOKUP($F84,Data!$R$4:$U$69,2,FALSE)*$G84))/G76)*Data!$R$3</f>
        <v>12</v>
      </c>
      <c r="G88" s="13" t="str">
        <f>IF(F88&gt;Data!$AC$7,"&lt;OVER!","A RMS")</f>
        <v>A RMS</v>
      </c>
      <c r="H88" s="14">
        <f>(((VLOOKUP($H83,Data!$R$4:$U$69,2,FALSE)*$I83)+(VLOOKUP($H84,Data!$R$4:$U$69,2,FALSE)*$I84))/I76)*Data!$R$3</f>
        <v>12</v>
      </c>
      <c r="I88" s="13" t="str">
        <f>IF(H88&gt;Data!$AC$7,"&lt;OVER!","A RMS")</f>
        <v>A RMS</v>
      </c>
      <c r="J88" s="14">
        <f>(((VLOOKUP($J83,Data!$R$4:$U$69,2,FALSE)*$K83)+(VLOOKUP($J84,Data!$R$4:$U$69,2,FALSE)*$K84))/E76)*Data!$R$3</f>
        <v>10</v>
      </c>
      <c r="K88" s="13" t="str">
        <f>IF(J88&gt;Data!$AC$7,"&lt;OVER!","A RMS")</f>
        <v>A RMS</v>
      </c>
      <c r="L88" s="14">
        <f>(((VLOOKUP($L83,Data!$R$4:$U$69,2,FALSE)*$M83)+(VLOOKUP($L84,Data!$R$4:$U$69,2,FALSE)*$M84))/G76)*Data!$R$3</f>
        <v>10</v>
      </c>
      <c r="M88" s="13" t="str">
        <f>IF(L88&gt;Data!$AC$7,"&lt;OVER!","A RMS")</f>
        <v>A RMS</v>
      </c>
      <c r="N88" s="14">
        <f>(((VLOOKUP($N83,Data!$R$4:$U$69,2,FALSE)*$O83)+(VLOOKUP($N84,Data!$R$4:$U$69,2,FALSE)*$O84))/I76)*Data!$R$3</f>
        <v>10</v>
      </c>
      <c r="O88" s="15" t="str">
        <f>IF(N88&gt;Data!$AC$7,"&lt;OVER!","A RMS")</f>
        <v>A RMS</v>
      </c>
      <c r="P88" s="1"/>
      <c r="T88"/>
      <c r="U88"/>
      <c r="V88"/>
      <c r="W88"/>
      <c r="X88"/>
      <c r="Y88"/>
      <c r="Z88"/>
      <c r="AA88"/>
      <c r="AB88"/>
      <c r="AC88"/>
      <c r="AD88"/>
      <c r="AE88"/>
      <c r="AF88"/>
      <c r="AG88"/>
      <c r="AH88"/>
      <c r="AI88"/>
      <c r="AJ88"/>
      <c r="AK88"/>
      <c r="AL88"/>
    </row>
    <row r="89" spans="1:38" x14ac:dyDescent="0.2">
      <c r="A89" s="1"/>
      <c r="B89" s="23" t="s">
        <v>199</v>
      </c>
      <c r="C89" s="1"/>
      <c r="D89" s="12">
        <f>(((VLOOKUP($D83,Data!$R$4:$U$69,3,FALSE)*$E83)+(VLOOKUP($D84,Data!$R$4:$U$69,3,FALSE)*$E84))/E76)*Data!$R$3</f>
        <v>18.399999999999999</v>
      </c>
      <c r="E89" s="13" t="s">
        <v>116</v>
      </c>
      <c r="F89" s="14">
        <f>(((VLOOKUP($F83,Data!$R$4:$U$69,3,FALSE)*$G83)+(VLOOKUP($F84,Data!$R$4:$U$69,3,FALSE)*$G84))/G76)*Data!$R$3</f>
        <v>18.399999999999999</v>
      </c>
      <c r="G89" s="13" t="s">
        <v>116</v>
      </c>
      <c r="H89" s="14">
        <f>(((VLOOKUP($H83,Data!$R$4:$U$69,3,FALSE)*$I83)+(VLOOKUP($H84,Data!$R$4:$U$69,3,FALSE)*$I84))/I76)*Data!$R$3</f>
        <v>18.399999999999999</v>
      </c>
      <c r="I89" s="13" t="s">
        <v>116</v>
      </c>
      <c r="J89" s="14">
        <f>(((VLOOKUP($J83,Data!$R$4:$U$69,3,FALSE)*$K83)+(VLOOKUP($J84,Data!$R$4:$U$69,3,FALSE)*$K84))/E76)*Data!$R$3</f>
        <v>18.8</v>
      </c>
      <c r="K89" s="13" t="s">
        <v>116</v>
      </c>
      <c r="L89" s="14">
        <f>(((VLOOKUP($L83,Data!$R$4:$U$69,3,FALSE)*$M83)+(VLOOKUP($L84,Data!$R$4:$U$69,3,FALSE)*$M84))/G76)*Data!$R$3</f>
        <v>18.8</v>
      </c>
      <c r="M89" s="13" t="s">
        <v>116</v>
      </c>
      <c r="N89" s="14">
        <f>(((VLOOKUP($N83,Data!$R$4:$U$69,3,FALSE)*$O83)+(VLOOKUP($N84,Data!$R$4:$U$69,3,FALSE)*$O84))/I76)*Data!$R$3</f>
        <v>18.8</v>
      </c>
      <c r="O89" s="15" t="s">
        <v>116</v>
      </c>
      <c r="P89" s="1"/>
      <c r="T89"/>
      <c r="U89"/>
      <c r="V89"/>
      <c r="W89"/>
      <c r="X89"/>
      <c r="Y89"/>
      <c r="Z89"/>
      <c r="AA89"/>
      <c r="AB89"/>
      <c r="AC89"/>
      <c r="AD89"/>
      <c r="AE89"/>
      <c r="AF89"/>
      <c r="AG89"/>
      <c r="AH89"/>
      <c r="AI89"/>
      <c r="AJ89"/>
      <c r="AK89"/>
      <c r="AL89"/>
    </row>
    <row r="90" spans="1:38" x14ac:dyDescent="0.2">
      <c r="A90" s="1"/>
      <c r="B90" s="23" t="s">
        <v>200</v>
      </c>
      <c r="C90" s="1"/>
      <c r="D90" s="12">
        <f>(((VLOOKUP($D83,Data!$R$4:$U$69,4,FALSE)*$E83)+(VLOOKUP($D84,Data!$R$4:$U$69,4,FALSE)*$E84))/E76)*Data!$R$3</f>
        <v>50.4</v>
      </c>
      <c r="E90" s="13" t="str">
        <f>IF(D90&gt;Data!$AC$8,"&lt;OVER!","A Pk")</f>
        <v>A Pk</v>
      </c>
      <c r="F90" s="14">
        <f>(((VLOOKUP($F83,Data!$R$4:$U$69,4,FALSE)*$G83)+(VLOOKUP($F84,Data!$R$4:$U$69,4,FALSE)*$G84))/G76)*Data!$R$3</f>
        <v>50.4</v>
      </c>
      <c r="G90" s="13" t="str">
        <f>IF(F90&gt;Data!$AC$8,"&lt;OVER!","A Pk")</f>
        <v>A Pk</v>
      </c>
      <c r="H90" s="14">
        <f>(((VLOOKUP($H83,Data!$R$4:$U$69,4,FALSE)*$I83)+(VLOOKUP($H84,Data!$R$4:$U$69,4,FALSE)*$I84))/I76)*Data!$R$3</f>
        <v>50.4</v>
      </c>
      <c r="I90" s="13" t="str">
        <f>IF(H90&gt;Data!$AC$8,"&lt;OVER!","A Pk")</f>
        <v>A Pk</v>
      </c>
      <c r="J90" s="14">
        <f>(((VLOOKUP($J83,Data!$R$4:$U$69,4,FALSE)*$K83)+(VLOOKUP($J84,Data!$R$4:$U$69,4,FALSE)*$K84))/E76)*Data!$R$3</f>
        <v>36.799999999999997</v>
      </c>
      <c r="K90" s="13" t="str">
        <f>IF(J90&gt;Data!$AC$8,"&lt;OVER!","A Pk")</f>
        <v>A Pk</v>
      </c>
      <c r="L90" s="14">
        <f>(((VLOOKUP($L83,Data!$R$4:$U$69,4,FALSE)*$M83)+(VLOOKUP($L84,Data!$R$4:$U$69,4,FALSE)*$M84))/G76)*Data!$R$3</f>
        <v>36.799999999999997</v>
      </c>
      <c r="M90" s="13" t="str">
        <f>IF(L90&gt;Data!$AC$8,"&lt;OVER!","A Pk")</f>
        <v>A Pk</v>
      </c>
      <c r="N90" s="14">
        <f>(((VLOOKUP($N83,Data!$R$4:$U$69,4,FALSE)*$O83)+(VLOOKUP($N84,Data!$R$4:$U$69,4,FALSE)*$O84))/I76)*Data!$R$3</f>
        <v>36.799999999999997</v>
      </c>
      <c r="O90" s="15" t="str">
        <f>IF(N90&gt;Data!$AC$8,"&lt;OVER!","A Pk")</f>
        <v>A Pk</v>
      </c>
      <c r="P90" s="1"/>
      <c r="T90"/>
      <c r="U90"/>
      <c r="V90"/>
      <c r="W90"/>
      <c r="X90"/>
      <c r="Y90"/>
      <c r="Z90"/>
      <c r="AA90"/>
      <c r="AB90"/>
      <c r="AC90"/>
      <c r="AD90"/>
      <c r="AE90"/>
      <c r="AF90"/>
      <c r="AG90"/>
      <c r="AH90"/>
      <c r="AI90"/>
      <c r="AJ90"/>
      <c r="AK90"/>
      <c r="AL90"/>
    </row>
    <row r="91" spans="1:38" ht="6" customHeight="1" x14ac:dyDescent="0.2">
      <c r="A91" s="1"/>
      <c r="B91" s="23"/>
      <c r="C91" s="1"/>
      <c r="D91" s="12"/>
      <c r="E91" s="16"/>
      <c r="F91" s="14"/>
      <c r="G91" s="16"/>
      <c r="H91" s="14"/>
      <c r="I91" s="16"/>
      <c r="J91" s="14"/>
      <c r="K91" s="16"/>
      <c r="L91" s="14"/>
      <c r="M91" s="16"/>
      <c r="N91" s="14"/>
      <c r="O91" s="15"/>
      <c r="P91" s="1"/>
      <c r="AE91"/>
      <c r="AF91"/>
      <c r="AG91"/>
      <c r="AH91"/>
      <c r="AI91"/>
      <c r="AJ91"/>
      <c r="AK91"/>
      <c r="AL91"/>
    </row>
    <row r="92" spans="1:38" x14ac:dyDescent="0.2">
      <c r="A92" s="1"/>
      <c r="B92" s="23" t="s">
        <v>212</v>
      </c>
      <c r="C92" s="1"/>
      <c r="D92" s="17">
        <f>(17*(10^-8))*((2*D85)/($N$76*(10^-5)))</f>
        <v>0.40800000000000003</v>
      </c>
      <c r="E92" s="16" t="s">
        <v>213</v>
      </c>
      <c r="F92" s="18">
        <f>(17*(10^-8))*((2*F85)/($N$76*(10^-5)))</f>
        <v>0.40800000000000003</v>
      </c>
      <c r="G92" s="16" t="s">
        <v>213</v>
      </c>
      <c r="H92" s="18">
        <f>(17*(10^-8))*((2*H85)/($N$76*(10^-5)))</f>
        <v>0.40800000000000003</v>
      </c>
      <c r="I92" s="16" t="s">
        <v>213</v>
      </c>
      <c r="J92" s="18">
        <f>(17*(10^-8))*((2*J85)/($N$76*(10^-5)))</f>
        <v>0.40800000000000003</v>
      </c>
      <c r="K92" s="16" t="s">
        <v>213</v>
      </c>
      <c r="L92" s="18">
        <f>(17*(10^-8))*((2*L85)/($N$76*(10^-5)))</f>
        <v>0.40800000000000003</v>
      </c>
      <c r="M92" s="16" t="s">
        <v>213</v>
      </c>
      <c r="N92" s="18">
        <f>(17*(10^-8))*((2*N85)/($N$76*(10^-5)))</f>
        <v>0.40800000000000003</v>
      </c>
      <c r="O92" s="15" t="s">
        <v>213</v>
      </c>
      <c r="P92" s="1"/>
      <c r="AE92"/>
      <c r="AF92"/>
      <c r="AG92"/>
      <c r="AH92"/>
      <c r="AI92"/>
      <c r="AJ92"/>
      <c r="AK92"/>
      <c r="AL92"/>
    </row>
    <row r="93" spans="1:38" x14ac:dyDescent="0.2">
      <c r="A93" s="1"/>
      <c r="B93" s="23" t="s">
        <v>214</v>
      </c>
      <c r="C93" s="1"/>
      <c r="D93" s="19">
        <f>E76*SQRT(2)</f>
        <v>325.26911934581187</v>
      </c>
      <c r="E93" s="16" t="s">
        <v>215</v>
      </c>
      <c r="F93" s="20">
        <f>G76*SQRT(2)</f>
        <v>325.26911934581187</v>
      </c>
      <c r="G93" s="16" t="s">
        <v>215</v>
      </c>
      <c r="H93" s="20">
        <f>I76*SQRT(2)</f>
        <v>325.26911934581187</v>
      </c>
      <c r="I93" s="16" t="s">
        <v>215</v>
      </c>
      <c r="J93" s="20">
        <f>E76*SQRT(2)</f>
        <v>325.26911934581187</v>
      </c>
      <c r="K93" s="16" t="s">
        <v>215</v>
      </c>
      <c r="L93" s="20">
        <f>G76*SQRT(2)</f>
        <v>325.26911934581187</v>
      </c>
      <c r="M93" s="16" t="s">
        <v>215</v>
      </c>
      <c r="N93" s="20">
        <f>I76*SQRT(2)</f>
        <v>325.26911934581187</v>
      </c>
      <c r="O93" s="15" t="s">
        <v>215</v>
      </c>
      <c r="P93" s="1"/>
      <c r="Q93" s="559" t="s">
        <v>216</v>
      </c>
      <c r="S93" s="111"/>
      <c r="T93" s="112" t="s">
        <v>166</v>
      </c>
      <c r="U93" s="112" t="s">
        <v>167</v>
      </c>
      <c r="V93" s="112" t="s">
        <v>168</v>
      </c>
      <c r="W93" s="112"/>
      <c r="X93" s="111"/>
      <c r="Y93" s="112" t="s">
        <v>217</v>
      </c>
      <c r="Z93" s="112" t="s">
        <v>218</v>
      </c>
      <c r="AA93" s="112" t="s">
        <v>219</v>
      </c>
      <c r="AB93" s="112" t="s">
        <v>220</v>
      </c>
      <c r="AC93" s="112" t="s">
        <v>221</v>
      </c>
      <c r="AD93" s="112" t="s">
        <v>222</v>
      </c>
      <c r="AE93"/>
      <c r="AF93"/>
      <c r="AG93"/>
      <c r="AH93"/>
      <c r="AI93"/>
      <c r="AJ93"/>
      <c r="AK93"/>
      <c r="AL93"/>
    </row>
    <row r="94" spans="1:38" x14ac:dyDescent="0.2">
      <c r="A94" s="1"/>
      <c r="B94" s="23" t="s">
        <v>223</v>
      </c>
      <c r="C94" s="1"/>
      <c r="D94" s="12">
        <f>D90*D92</f>
        <v>20.563200000000002</v>
      </c>
      <c r="E94" s="16" t="s">
        <v>215</v>
      </c>
      <c r="F94" s="14">
        <f>F90*F92</f>
        <v>20.563200000000002</v>
      </c>
      <c r="G94" s="16" t="s">
        <v>215</v>
      </c>
      <c r="H94" s="14">
        <f>H90*H92</f>
        <v>20.563200000000002</v>
      </c>
      <c r="I94" s="16" t="s">
        <v>215</v>
      </c>
      <c r="J94" s="14">
        <f>J90*J92</f>
        <v>15.0144</v>
      </c>
      <c r="K94" s="16" t="s">
        <v>215</v>
      </c>
      <c r="L94" s="14">
        <f>L90*L92</f>
        <v>15.0144</v>
      </c>
      <c r="M94" s="16" t="s">
        <v>215</v>
      </c>
      <c r="N94" s="14">
        <f>N90*N92</f>
        <v>15.0144</v>
      </c>
      <c r="O94" s="15" t="s">
        <v>215</v>
      </c>
      <c r="P94" s="1"/>
      <c r="Q94" s="559"/>
      <c r="S94" s="111" t="s">
        <v>224</v>
      </c>
      <c r="T94" s="112">
        <f>Data!$AC$6</f>
        <v>32</v>
      </c>
      <c r="U94" s="112">
        <f>Data!$AC$6</f>
        <v>32</v>
      </c>
      <c r="V94" s="112">
        <f>Data!$AC$6</f>
        <v>32</v>
      </c>
      <c r="W94" s="112"/>
      <c r="X94" s="111" t="s">
        <v>224</v>
      </c>
      <c r="Y94" s="112">
        <f>Data!$AC$7</f>
        <v>16</v>
      </c>
      <c r="Z94" s="112">
        <f>Data!$AC$7</f>
        <v>16</v>
      </c>
      <c r="AA94" s="112">
        <f>Data!$AC$7</f>
        <v>16</v>
      </c>
      <c r="AB94" s="112">
        <f>Data!$AC$7</f>
        <v>16</v>
      </c>
      <c r="AC94" s="112">
        <f>Data!$AC$7</f>
        <v>16</v>
      </c>
      <c r="AD94" s="112">
        <f>Data!$AC$7</f>
        <v>16</v>
      </c>
      <c r="AE94"/>
      <c r="AF94"/>
      <c r="AG94"/>
      <c r="AH94"/>
      <c r="AI94"/>
      <c r="AJ94"/>
      <c r="AK94"/>
      <c r="AL94"/>
    </row>
    <row r="95" spans="1:38" x14ac:dyDescent="0.2">
      <c r="A95" s="1"/>
      <c r="B95" s="23" t="s">
        <v>225</v>
      </c>
      <c r="C95" s="1"/>
      <c r="D95" s="19">
        <f>D93-D94</f>
        <v>304.70591934581188</v>
      </c>
      <c r="E95" s="16" t="s">
        <v>215</v>
      </c>
      <c r="F95" s="20">
        <f>F93-F94</f>
        <v>304.70591934581188</v>
      </c>
      <c r="G95" s="16" t="s">
        <v>215</v>
      </c>
      <c r="H95" s="20">
        <f>H93-H94</f>
        <v>304.70591934581188</v>
      </c>
      <c r="I95" s="16" t="s">
        <v>215</v>
      </c>
      <c r="J95" s="20">
        <f>J93-J94</f>
        <v>310.25471934581185</v>
      </c>
      <c r="K95" s="16" t="s">
        <v>215</v>
      </c>
      <c r="L95" s="20">
        <f>L93-L94</f>
        <v>310.25471934581185</v>
      </c>
      <c r="M95" s="16" t="s">
        <v>215</v>
      </c>
      <c r="N95" s="20">
        <f>N93-N94</f>
        <v>310.25471934581185</v>
      </c>
      <c r="O95" s="15" t="s">
        <v>215</v>
      </c>
      <c r="P95" s="1"/>
      <c r="Q95" s="559"/>
      <c r="S95" s="111"/>
      <c r="T95" s="112"/>
      <c r="U95" s="112"/>
      <c r="V95" s="112"/>
      <c r="W95" s="112"/>
      <c r="X95" s="111" t="s">
        <v>226</v>
      </c>
      <c r="Y95" s="112">
        <f>Data!$AC$8</f>
        <v>80</v>
      </c>
      <c r="Z95" s="112">
        <f>Data!$AC$8</f>
        <v>80</v>
      </c>
      <c r="AA95" s="112">
        <f>Data!$AC$8</f>
        <v>80</v>
      </c>
      <c r="AB95" s="112">
        <f>Data!$AC$8</f>
        <v>80</v>
      </c>
      <c r="AC95" s="112">
        <f>Data!$AC$8</f>
        <v>80</v>
      </c>
      <c r="AD95" s="112">
        <f>Data!$AC$8</f>
        <v>80</v>
      </c>
      <c r="AE95"/>
      <c r="AF95"/>
      <c r="AG95"/>
      <c r="AH95"/>
      <c r="AI95"/>
      <c r="AJ95"/>
      <c r="AK95"/>
      <c r="AL95"/>
    </row>
    <row r="96" spans="1:38" ht="17" thickBot="1" x14ac:dyDescent="0.25">
      <c r="A96" s="1"/>
      <c r="B96" s="24" t="s">
        <v>227</v>
      </c>
      <c r="C96" s="1"/>
      <c r="D96" s="141">
        <f>(D94*100)/D93</f>
        <v>6.3219035490848761</v>
      </c>
      <c r="E96" s="21" t="str">
        <f>IF(D96&gt;Data!$AC$13,"&lt;OVER!","% V Pk")</f>
        <v>% V Pk</v>
      </c>
      <c r="F96" s="142">
        <f>(F94*100)/F93</f>
        <v>6.3219035490848761</v>
      </c>
      <c r="G96" s="21" t="str">
        <f>IF(F96&gt;Data!$AC$13,"&lt;OVER!","% V Pk")</f>
        <v>% V Pk</v>
      </c>
      <c r="H96" s="142">
        <f>(H94*100)/H93</f>
        <v>6.3219035490848761</v>
      </c>
      <c r="I96" s="21" t="str">
        <f>IF(H96&gt;Data!$AC$13,"&lt;OVER!","% V Pk")</f>
        <v>% V Pk</v>
      </c>
      <c r="J96" s="142">
        <f>(J94*100)/J93</f>
        <v>4.6159930675857819</v>
      </c>
      <c r="K96" s="21" t="str">
        <f>IF(J96&gt;Data!$AC$13,"&lt;OVER!","% V Pk")</f>
        <v>% V Pk</v>
      </c>
      <c r="L96" s="142">
        <f>(L94*100)/L93</f>
        <v>4.6159930675857819</v>
      </c>
      <c r="M96" s="21" t="str">
        <f>IF(L96&gt;Data!$AC$13,"&lt;OVER!","% V Pk")</f>
        <v>% V Pk</v>
      </c>
      <c r="N96" s="142">
        <f>(N94*100)/N93</f>
        <v>4.6159930675857819</v>
      </c>
      <c r="O96" s="22" t="str">
        <f>IF(N96&gt;Data!$AC$13,"&lt;OVER!","% V Pk")</f>
        <v>% V Pk</v>
      </c>
      <c r="P96" s="1"/>
      <c r="Q96" s="559"/>
      <c r="S96" s="111" t="str">
        <f>'EU MDM-5000'!B78</f>
        <v>MLTC + 30%</v>
      </c>
      <c r="T96" s="112">
        <f>'EU MDM-5000'!D78</f>
        <v>28.6</v>
      </c>
      <c r="U96" s="112">
        <f>'EU MDM-5000'!F78</f>
        <v>28.6</v>
      </c>
      <c r="V96" s="112">
        <f>'EU MDM-5000'!H78</f>
        <v>28.6</v>
      </c>
      <c r="W96" s="112"/>
      <c r="X96" s="111" t="str">
        <f>'EU MDM-5000'!B78</f>
        <v>MLTC + 30%</v>
      </c>
      <c r="Y96" s="112">
        <f>'EU MDM-5000'!D88</f>
        <v>12</v>
      </c>
      <c r="Z96" s="112">
        <f>'EU MDM-5000'!F88</f>
        <v>12</v>
      </c>
      <c r="AA96" s="112">
        <f>'EU MDM-5000'!H88</f>
        <v>12</v>
      </c>
      <c r="AB96" s="112">
        <f>'EU MDM-5000'!J88</f>
        <v>10</v>
      </c>
      <c r="AC96" s="112">
        <f>'EU MDM-5000'!L88</f>
        <v>10</v>
      </c>
      <c r="AD96" s="112">
        <f>'EU MDM-5000'!N88</f>
        <v>10</v>
      </c>
      <c r="AE96"/>
      <c r="AF96"/>
      <c r="AG96"/>
      <c r="AH96"/>
      <c r="AI96"/>
      <c r="AJ96"/>
      <c r="AK96"/>
      <c r="AL96"/>
    </row>
    <row r="97" spans="1:38" x14ac:dyDescent="0.2">
      <c r="A97" s="1"/>
      <c r="B97" s="1"/>
      <c r="C97" s="1"/>
      <c r="D97" s="1"/>
      <c r="E97" s="1"/>
      <c r="F97" s="1"/>
      <c r="G97" s="1"/>
      <c r="H97" s="1"/>
      <c r="I97" s="1"/>
      <c r="J97" s="1"/>
      <c r="K97" s="1"/>
      <c r="L97" s="1"/>
      <c r="M97" s="1"/>
      <c r="N97" s="1"/>
      <c r="O97" s="1"/>
      <c r="P97" s="126" t="str">
        <f>Data!$G$1</f>
        <v>© 2021</v>
      </c>
      <c r="Q97" s="559"/>
      <c r="S97" s="111" t="str">
        <f>'EU MDM-5000'!B79</f>
        <v>Burst RMS</v>
      </c>
      <c r="T97" s="112">
        <f>'EU MDM-5000'!D79</f>
        <v>37.200000000000003</v>
      </c>
      <c r="U97" s="112">
        <f>'EU MDM-5000'!F79</f>
        <v>37.200000000000003</v>
      </c>
      <c r="V97" s="112">
        <f>'EU MDM-5000'!H79</f>
        <v>37.200000000000003</v>
      </c>
      <c r="W97" s="112"/>
      <c r="X97" s="111" t="str">
        <f>'EU MDM-5000'!B79</f>
        <v>Burst RMS</v>
      </c>
      <c r="Y97" s="112">
        <f>'EU MDM-5000'!D89</f>
        <v>18.399999999999999</v>
      </c>
      <c r="Z97" s="112">
        <f>'EU MDM-5000'!F89</f>
        <v>18.399999999999999</v>
      </c>
      <c r="AA97" s="112">
        <f>'EU MDM-5000'!H89</f>
        <v>18.399999999999999</v>
      </c>
      <c r="AB97" s="112">
        <f>'EU MDM-5000'!J89</f>
        <v>18.8</v>
      </c>
      <c r="AC97" s="112">
        <f>'EU MDM-5000'!L89</f>
        <v>18.8</v>
      </c>
      <c r="AD97" s="112">
        <f>'EU MDM-5000'!N89</f>
        <v>18.8</v>
      </c>
      <c r="AE97"/>
      <c r="AF97"/>
      <c r="AG97"/>
      <c r="AH97"/>
      <c r="AI97"/>
      <c r="AJ97"/>
      <c r="AK97"/>
      <c r="AL97"/>
    </row>
    <row r="98" spans="1:38" x14ac:dyDescent="0.2">
      <c r="A98" s="1"/>
      <c r="B98" s="1"/>
      <c r="C98" s="1"/>
      <c r="D98" s="1"/>
      <c r="E98" s="1"/>
      <c r="F98" s="1"/>
      <c r="G98" s="1"/>
      <c r="H98" s="1"/>
      <c r="I98" s="1"/>
      <c r="J98" s="1"/>
      <c r="K98" s="1"/>
      <c r="L98" s="1"/>
      <c r="M98" s="1"/>
      <c r="N98" s="1"/>
      <c r="O98" s="1"/>
      <c r="P98" s="1"/>
      <c r="Q98" s="559"/>
      <c r="S98" s="111" t="str">
        <f>'EU MDM-5000'!B80</f>
        <v>Max Inst Pk</v>
      </c>
      <c r="T98" s="112">
        <f>'EU MDM-5000'!D80</f>
        <v>87.199999999999989</v>
      </c>
      <c r="U98" s="112">
        <f>'EU MDM-5000'!F80</f>
        <v>87.199999999999989</v>
      </c>
      <c r="V98" s="112">
        <f>'EU MDM-5000'!H80</f>
        <v>87.199999999999989</v>
      </c>
      <c r="W98" s="112"/>
      <c r="X98" s="111" t="str">
        <f>'EU MDM-5000'!B80</f>
        <v>Max Inst Pk</v>
      </c>
      <c r="Y98" s="112">
        <f>'EU MDM-5000'!D90</f>
        <v>50.4</v>
      </c>
      <c r="Z98" s="112">
        <f>'EU MDM-5000'!F90</f>
        <v>50.4</v>
      </c>
      <c r="AA98" s="112">
        <f>'EU MDM-5000'!H90</f>
        <v>50.4</v>
      </c>
      <c r="AB98" s="112">
        <f>'EU MDM-5000'!J90</f>
        <v>36.799999999999997</v>
      </c>
      <c r="AC98" s="112">
        <f>'EU MDM-5000'!L90</f>
        <v>36.799999999999997</v>
      </c>
      <c r="AD98" s="112">
        <f>'EU MDM-5000'!N90</f>
        <v>36.799999999999997</v>
      </c>
      <c r="AE98"/>
      <c r="AF98"/>
      <c r="AG98"/>
      <c r="AH98"/>
      <c r="AI98"/>
      <c r="AJ98"/>
      <c r="AK98"/>
      <c r="AL98"/>
    </row>
    <row r="99" spans="1:38" x14ac:dyDescent="0.2">
      <c r="A99" s="1"/>
      <c r="B99" s="1"/>
      <c r="C99" s="1"/>
      <c r="D99" s="1"/>
      <c r="E99" s="1"/>
      <c r="F99" s="1"/>
      <c r="G99" s="1"/>
      <c r="H99" s="1"/>
      <c r="I99" s="1"/>
      <c r="J99" s="1"/>
      <c r="K99" s="1"/>
      <c r="L99" s="1"/>
      <c r="M99" s="1"/>
      <c r="N99" s="1"/>
      <c r="O99" s="1"/>
      <c r="P99" s="1"/>
      <c r="Q99" s="559"/>
      <c r="S99" s="111"/>
      <c r="T99" s="112"/>
      <c r="U99" s="112"/>
      <c r="V99" s="112"/>
      <c r="W99" s="112"/>
      <c r="X99" s="111"/>
      <c r="Y99" s="112"/>
      <c r="Z99" s="112"/>
      <c r="AA99" s="112"/>
      <c r="AB99" s="112"/>
      <c r="AC99" s="112"/>
      <c r="AD99" s="112"/>
      <c r="AE99"/>
      <c r="AF99"/>
      <c r="AG99"/>
      <c r="AH99"/>
      <c r="AI99"/>
      <c r="AJ99"/>
      <c r="AK99"/>
      <c r="AL99"/>
    </row>
    <row r="100" spans="1:38" x14ac:dyDescent="0.2">
      <c r="A100" s="1"/>
      <c r="B100" s="1"/>
      <c r="C100" s="1"/>
      <c r="D100" s="1"/>
      <c r="E100" s="1"/>
      <c r="F100" s="1"/>
      <c r="G100" s="1"/>
      <c r="H100" s="1"/>
      <c r="I100" s="1"/>
      <c r="J100" s="1"/>
      <c r="K100" s="1"/>
      <c r="L100" s="1"/>
      <c r="M100" s="1"/>
      <c r="N100" s="1"/>
      <c r="O100" s="1"/>
      <c r="P100" s="1"/>
      <c r="Q100" s="559"/>
      <c r="S100" s="111"/>
      <c r="T100" s="112"/>
      <c r="U100" s="112"/>
      <c r="V100" s="112"/>
      <c r="W100" s="112"/>
      <c r="X100" s="111"/>
      <c r="Y100" s="112"/>
      <c r="Z100" s="112"/>
      <c r="AA100" s="112"/>
      <c r="AB100" s="112"/>
      <c r="AC100" s="112"/>
      <c r="AD100" s="112"/>
      <c r="AE100"/>
      <c r="AF100"/>
      <c r="AG100"/>
      <c r="AH100"/>
      <c r="AI100"/>
      <c r="AJ100"/>
      <c r="AK100"/>
      <c r="AL100"/>
    </row>
    <row r="101" spans="1:38" x14ac:dyDescent="0.2">
      <c r="A101" s="1"/>
      <c r="B101" s="1"/>
      <c r="C101" s="1"/>
      <c r="D101" s="1"/>
      <c r="E101" s="1"/>
      <c r="F101" s="1"/>
      <c r="G101" s="1"/>
      <c r="H101" s="1"/>
      <c r="I101" s="1"/>
      <c r="J101" s="1"/>
      <c r="K101" s="1"/>
      <c r="L101" s="1"/>
      <c r="M101" s="1"/>
      <c r="N101" s="1"/>
      <c r="O101" s="1"/>
      <c r="P101" s="1"/>
      <c r="Q101" s="559"/>
      <c r="S101" s="111" t="s">
        <v>228</v>
      </c>
      <c r="T101" s="112">
        <f>(100*T96)/T94</f>
        <v>89.375</v>
      </c>
      <c r="U101" s="112">
        <f>(100*U96)/U94</f>
        <v>89.375</v>
      </c>
      <c r="V101" s="112">
        <f>(100*V96)/V94</f>
        <v>89.375</v>
      </c>
      <c r="W101" s="112"/>
      <c r="X101" s="111" t="s">
        <v>228</v>
      </c>
      <c r="Y101" s="112">
        <f t="shared" ref="Y101:AD101" si="16">(100*Y96)/Y94</f>
        <v>75</v>
      </c>
      <c r="Z101" s="112">
        <f t="shared" si="16"/>
        <v>75</v>
      </c>
      <c r="AA101" s="112">
        <f t="shared" si="16"/>
        <v>75</v>
      </c>
      <c r="AB101" s="112">
        <f t="shared" si="16"/>
        <v>62.5</v>
      </c>
      <c r="AC101" s="112">
        <f t="shared" si="16"/>
        <v>62.5</v>
      </c>
      <c r="AD101" s="112">
        <f t="shared" si="16"/>
        <v>62.5</v>
      </c>
      <c r="AE101"/>
      <c r="AF101"/>
      <c r="AG101"/>
      <c r="AH101"/>
      <c r="AI101"/>
      <c r="AJ101"/>
      <c r="AK101"/>
      <c r="AL101"/>
    </row>
    <row r="102" spans="1:38" x14ac:dyDescent="0.2">
      <c r="A102" s="1"/>
      <c r="B102" s="1"/>
      <c r="C102" s="1"/>
      <c r="D102" s="1"/>
      <c r="E102" s="1"/>
      <c r="F102" s="1"/>
      <c r="G102" s="1"/>
      <c r="H102" s="1"/>
      <c r="I102" s="1"/>
      <c r="J102" s="1"/>
      <c r="K102" s="1"/>
      <c r="L102" s="1"/>
      <c r="M102" s="1"/>
      <c r="N102" s="1"/>
      <c r="O102" s="1"/>
      <c r="P102" s="1"/>
      <c r="Q102" s="559"/>
      <c r="S102" s="111" t="s">
        <v>229</v>
      </c>
      <c r="T102" s="112">
        <f>T101-100</f>
        <v>-10.625</v>
      </c>
      <c r="U102" s="112">
        <f>U101-100</f>
        <v>-10.625</v>
      </c>
      <c r="V102" s="112">
        <f>V101-100</f>
        <v>-10.625</v>
      </c>
      <c r="W102" s="112"/>
      <c r="X102" s="111" t="s">
        <v>229</v>
      </c>
      <c r="Y102" s="112">
        <f t="shared" ref="Y102:AD102" si="17">Y101-100</f>
        <v>-25</v>
      </c>
      <c r="Z102" s="112">
        <f t="shared" si="17"/>
        <v>-25</v>
      </c>
      <c r="AA102" s="112">
        <f t="shared" si="17"/>
        <v>-25</v>
      </c>
      <c r="AB102" s="112">
        <f t="shared" si="17"/>
        <v>-37.5</v>
      </c>
      <c r="AC102" s="112">
        <f t="shared" si="17"/>
        <v>-37.5</v>
      </c>
      <c r="AD102" s="112">
        <f t="shared" si="17"/>
        <v>-37.5</v>
      </c>
      <c r="AE102"/>
      <c r="AF102"/>
      <c r="AG102"/>
      <c r="AH102"/>
      <c r="AI102"/>
      <c r="AJ102"/>
      <c r="AK102"/>
      <c r="AL102"/>
    </row>
    <row r="103" spans="1:38" x14ac:dyDescent="0.2">
      <c r="A103" s="1"/>
      <c r="B103" s="1"/>
      <c r="C103" s="1"/>
      <c r="D103" s="1"/>
      <c r="E103" s="1"/>
      <c r="F103" s="1"/>
      <c r="G103" s="1"/>
      <c r="H103" s="1"/>
      <c r="I103" s="1"/>
      <c r="J103" s="1"/>
      <c r="K103" s="1"/>
      <c r="L103" s="1"/>
      <c r="M103" s="1"/>
      <c r="N103" s="1"/>
      <c r="O103" s="1"/>
      <c r="P103" s="1"/>
      <c r="Q103" s="559"/>
      <c r="S103" s="111" t="s">
        <v>230</v>
      </c>
      <c r="T103" s="112">
        <f>IF(T102&lt;0,T101,100)</f>
        <v>89.375</v>
      </c>
      <c r="U103" s="112">
        <f>IF(U102&lt;0,U101,100)</f>
        <v>89.375</v>
      </c>
      <c r="V103" s="112">
        <f>IF(V102&lt;0,V101,100)</f>
        <v>89.375</v>
      </c>
      <c r="W103" s="112"/>
      <c r="X103" s="111" t="s">
        <v>230</v>
      </c>
      <c r="Y103" s="112">
        <f t="shared" ref="Y103:AD103" si="18">IF(Y102&lt;0,Y101,100)</f>
        <v>75</v>
      </c>
      <c r="Z103" s="112">
        <f t="shared" si="18"/>
        <v>75</v>
      </c>
      <c r="AA103" s="112">
        <f t="shared" si="18"/>
        <v>75</v>
      </c>
      <c r="AB103" s="112">
        <f t="shared" si="18"/>
        <v>62.5</v>
      </c>
      <c r="AC103" s="112">
        <f t="shared" si="18"/>
        <v>62.5</v>
      </c>
      <c r="AD103" s="112">
        <f t="shared" si="18"/>
        <v>62.5</v>
      </c>
      <c r="AE103"/>
      <c r="AF103"/>
      <c r="AG103"/>
      <c r="AH103"/>
      <c r="AI103"/>
      <c r="AJ103"/>
      <c r="AK103"/>
      <c r="AL103"/>
    </row>
    <row r="104" spans="1:38" x14ac:dyDescent="0.2">
      <c r="A104" s="1"/>
      <c r="B104" s="1"/>
      <c r="C104" s="1"/>
      <c r="D104" s="1"/>
      <c r="E104" s="1"/>
      <c r="F104" s="1"/>
      <c r="G104" s="1"/>
      <c r="H104" s="1"/>
      <c r="I104" s="1"/>
      <c r="J104" s="1"/>
      <c r="K104" s="1"/>
      <c r="L104" s="1"/>
      <c r="M104" s="1"/>
      <c r="N104" s="1"/>
      <c r="O104" s="1"/>
      <c r="P104" s="1"/>
      <c r="Q104" s="559"/>
      <c r="S104" s="111" t="s">
        <v>231</v>
      </c>
      <c r="T104" s="112" t="e">
        <f>IF(T101&gt;100,T101-T103,NA())</f>
        <v>#N/A</v>
      </c>
      <c r="U104" s="112" t="e">
        <f>IF(U101&gt;100,U101-U103,NA())</f>
        <v>#N/A</v>
      </c>
      <c r="V104" s="112" t="e">
        <f>IF(V101&gt;100,V101-V103,NA())</f>
        <v>#N/A</v>
      </c>
      <c r="W104" s="112"/>
      <c r="X104" s="111" t="s">
        <v>231</v>
      </c>
      <c r="Y104" s="112" t="e">
        <f t="shared" ref="Y104:AD104" si="19">IF(Y101&gt;100,Y101-Y103,NA())</f>
        <v>#N/A</v>
      </c>
      <c r="Z104" s="112" t="e">
        <f t="shared" si="19"/>
        <v>#N/A</v>
      </c>
      <c r="AA104" s="112" t="e">
        <f t="shared" si="19"/>
        <v>#N/A</v>
      </c>
      <c r="AB104" s="112" t="e">
        <f t="shared" si="19"/>
        <v>#N/A</v>
      </c>
      <c r="AC104" s="112" t="e">
        <f t="shared" si="19"/>
        <v>#N/A</v>
      </c>
      <c r="AD104" s="112" t="e">
        <f t="shared" si="19"/>
        <v>#N/A</v>
      </c>
      <c r="AE104"/>
      <c r="AF104"/>
      <c r="AG104"/>
      <c r="AH104"/>
      <c r="AI104"/>
      <c r="AJ104"/>
      <c r="AK104"/>
      <c r="AL104"/>
    </row>
    <row r="105" spans="1:38" x14ac:dyDescent="0.2">
      <c r="A105" s="1"/>
      <c r="B105" s="1"/>
      <c r="C105" s="1"/>
      <c r="D105" s="1"/>
      <c r="E105" s="1"/>
      <c r="F105" s="1"/>
      <c r="G105" s="1"/>
      <c r="H105" s="1"/>
      <c r="I105" s="1"/>
      <c r="J105" s="1"/>
      <c r="K105" s="1"/>
      <c r="L105" s="1"/>
      <c r="M105" s="1"/>
      <c r="N105" s="1"/>
      <c r="O105" s="1"/>
      <c r="P105" s="1"/>
      <c r="Q105" s="559"/>
      <c r="S105" s="111"/>
      <c r="T105" s="112"/>
      <c r="U105" s="112"/>
      <c r="V105" s="112"/>
      <c r="W105" s="112"/>
      <c r="X105" s="111" t="s">
        <v>232</v>
      </c>
      <c r="Y105" s="112">
        <f>Data!$AC$13</f>
        <v>10</v>
      </c>
      <c r="Z105" s="112">
        <f>Data!$AC$13</f>
        <v>10</v>
      </c>
      <c r="AA105" s="112">
        <f>Data!$AC$13</f>
        <v>10</v>
      </c>
      <c r="AB105" s="112">
        <f>Data!$AC$13</f>
        <v>10</v>
      </c>
      <c r="AC105" s="112">
        <f>Data!$AC$13</f>
        <v>10</v>
      </c>
      <c r="AD105" s="112">
        <f>Data!$AC$13</f>
        <v>10</v>
      </c>
      <c r="AE105"/>
      <c r="AF105"/>
      <c r="AG105"/>
      <c r="AH105"/>
      <c r="AI105"/>
      <c r="AJ105"/>
      <c r="AK105"/>
      <c r="AL105"/>
    </row>
    <row r="106" spans="1:38" x14ac:dyDescent="0.2">
      <c r="A106" s="1"/>
      <c r="B106" s="1"/>
      <c r="C106" s="1"/>
      <c r="D106" s="1"/>
      <c r="E106" s="1"/>
      <c r="F106" s="1"/>
      <c r="G106" s="1"/>
      <c r="H106" s="1"/>
      <c r="I106" s="1"/>
      <c r="J106" s="1"/>
      <c r="K106" s="1"/>
      <c r="L106" s="1"/>
      <c r="M106" s="1"/>
      <c r="N106" s="1"/>
      <c r="O106" s="1"/>
      <c r="P106" s="1"/>
      <c r="Q106" s="559"/>
      <c r="S106" s="111"/>
      <c r="T106" s="112"/>
      <c r="U106" s="112"/>
      <c r="V106" s="112"/>
      <c r="W106" s="112"/>
      <c r="X106" s="111" t="s">
        <v>233</v>
      </c>
      <c r="Y106" s="113">
        <f>-'EU MDM-5000'!D96</f>
        <v>-6.3219035490848761</v>
      </c>
      <c r="Z106" s="113">
        <f>-'EU MDM-5000'!F96</f>
        <v>-6.3219035490848761</v>
      </c>
      <c r="AA106" s="113">
        <f>-'EU MDM-5000'!H96</f>
        <v>-6.3219035490848761</v>
      </c>
      <c r="AB106" s="113">
        <f>-'EU MDM-5000'!J96</f>
        <v>-4.6159930675857819</v>
      </c>
      <c r="AC106" s="113">
        <f>-'EU MDM-5000'!L96</f>
        <v>-4.6159930675857819</v>
      </c>
      <c r="AD106" s="113">
        <f>-'EU MDM-5000'!N96</f>
        <v>-4.6159930675857819</v>
      </c>
      <c r="AE106"/>
      <c r="AF106"/>
      <c r="AG106"/>
      <c r="AH106"/>
      <c r="AI106"/>
      <c r="AJ106"/>
      <c r="AK106"/>
      <c r="AL106"/>
    </row>
    <row r="107" spans="1:38" x14ac:dyDescent="0.2">
      <c r="A107" s="1"/>
      <c r="B107" s="1"/>
      <c r="C107" s="1"/>
      <c r="D107" s="1"/>
      <c r="E107" s="1"/>
      <c r="F107" s="1"/>
      <c r="G107" s="1"/>
      <c r="H107" s="1"/>
      <c r="I107" s="1"/>
      <c r="J107" s="1"/>
      <c r="K107" s="1"/>
      <c r="L107" s="1"/>
      <c r="M107" s="1"/>
      <c r="N107" s="1"/>
      <c r="O107" s="1"/>
      <c r="P107" s="1"/>
      <c r="Q107" s="559"/>
      <c r="S107" s="111"/>
      <c r="T107" s="112"/>
      <c r="U107" s="112"/>
      <c r="V107" s="112"/>
      <c r="W107" s="112"/>
      <c r="X107" s="111" t="s">
        <v>234</v>
      </c>
      <c r="Y107" s="112">
        <f t="shared" ref="Y107:AD107" si="20">IF(Y106&gt;-Y105,Y106,-Y105)</f>
        <v>-6.3219035490848761</v>
      </c>
      <c r="Z107" s="112">
        <f t="shared" si="20"/>
        <v>-6.3219035490848761</v>
      </c>
      <c r="AA107" s="112">
        <f t="shared" si="20"/>
        <v>-6.3219035490848761</v>
      </c>
      <c r="AB107" s="112">
        <f t="shared" si="20"/>
        <v>-4.6159930675857819</v>
      </c>
      <c r="AC107" s="112">
        <f t="shared" si="20"/>
        <v>-4.6159930675857819</v>
      </c>
      <c r="AD107" s="112">
        <f t="shared" si="20"/>
        <v>-4.6159930675857819</v>
      </c>
      <c r="AE107"/>
      <c r="AF107"/>
      <c r="AG107"/>
      <c r="AH107"/>
      <c r="AI107"/>
      <c r="AJ107"/>
      <c r="AK107"/>
      <c r="AL107"/>
    </row>
    <row r="108" spans="1:38" x14ac:dyDescent="0.2">
      <c r="A108" s="1"/>
      <c r="B108" s="1"/>
      <c r="C108" s="1"/>
      <c r="D108" s="1"/>
      <c r="E108" s="1"/>
      <c r="F108" s="1"/>
      <c r="G108" s="1"/>
      <c r="H108" s="1"/>
      <c r="I108" s="1"/>
      <c r="J108" s="1"/>
      <c r="K108" s="1"/>
      <c r="L108" s="1"/>
      <c r="M108" s="1"/>
      <c r="N108" s="1"/>
      <c r="O108" s="1"/>
      <c r="P108" s="1"/>
      <c r="Q108" s="559"/>
      <c r="S108" s="111"/>
      <c r="T108" s="112"/>
      <c r="U108" s="112"/>
      <c r="V108" s="112"/>
      <c r="W108" s="112"/>
      <c r="X108" s="111" t="s">
        <v>235</v>
      </c>
      <c r="Y108" s="112" t="e">
        <f t="shared" ref="Y108:AD108" si="21">IF(Y106&gt;-Y105,NA(),Y106+Y105)</f>
        <v>#N/A</v>
      </c>
      <c r="Z108" s="112" t="e">
        <f t="shared" si="21"/>
        <v>#N/A</v>
      </c>
      <c r="AA108" s="112" t="e">
        <f t="shared" si="21"/>
        <v>#N/A</v>
      </c>
      <c r="AB108" s="112" t="e">
        <f t="shared" si="21"/>
        <v>#N/A</v>
      </c>
      <c r="AC108" s="112" t="e">
        <f t="shared" si="21"/>
        <v>#N/A</v>
      </c>
      <c r="AD108" s="112" t="e">
        <f t="shared" si="21"/>
        <v>#N/A</v>
      </c>
      <c r="AE108"/>
      <c r="AF108"/>
      <c r="AG108"/>
      <c r="AH108"/>
      <c r="AI108"/>
      <c r="AJ108"/>
      <c r="AK108"/>
      <c r="AL108"/>
    </row>
    <row r="109" spans="1:38" x14ac:dyDescent="0.2">
      <c r="A109" s="1"/>
      <c r="B109" s="1"/>
      <c r="C109" s="1"/>
      <c r="D109" s="1"/>
      <c r="E109" s="1"/>
      <c r="F109" s="1"/>
      <c r="G109" s="1"/>
      <c r="H109" s="1"/>
      <c r="I109" s="1"/>
      <c r="J109" s="1"/>
      <c r="K109" s="1"/>
      <c r="L109" s="1"/>
      <c r="M109" s="1"/>
      <c r="N109" s="1"/>
      <c r="O109" s="1"/>
      <c r="P109" s="1"/>
      <c r="Q109" s="559"/>
      <c r="S109" s="111"/>
      <c r="T109" s="112"/>
      <c r="U109" s="112"/>
      <c r="V109" s="112"/>
      <c r="W109" s="112"/>
      <c r="X109" s="111"/>
      <c r="Y109" s="112"/>
      <c r="Z109" s="112"/>
      <c r="AA109" s="112"/>
      <c r="AB109" s="112"/>
      <c r="AC109" s="112"/>
      <c r="AD109" s="112"/>
      <c r="AE109"/>
      <c r="AF109"/>
      <c r="AG109"/>
      <c r="AH109"/>
      <c r="AI109"/>
      <c r="AJ109"/>
      <c r="AK109"/>
      <c r="AL109"/>
    </row>
    <row r="110" spans="1:38" x14ac:dyDescent="0.2">
      <c r="A110" s="1"/>
      <c r="B110" s="1"/>
      <c r="C110" s="1"/>
      <c r="D110" s="1"/>
      <c r="E110" s="1"/>
      <c r="F110" s="1"/>
      <c r="G110" s="1"/>
      <c r="H110" s="1"/>
      <c r="I110" s="1"/>
      <c r="J110" s="1"/>
      <c r="K110" s="1"/>
      <c r="L110" s="1"/>
      <c r="M110" s="1"/>
      <c r="N110" s="1"/>
      <c r="O110" s="1"/>
      <c r="P110" s="1"/>
      <c r="AE110"/>
      <c r="AF110"/>
      <c r="AG110"/>
      <c r="AH110"/>
      <c r="AI110"/>
      <c r="AJ110"/>
      <c r="AK110"/>
      <c r="AL110"/>
    </row>
    <row r="111" spans="1:38" ht="17" thickBot="1" x14ac:dyDescent="0.25">
      <c r="A111" s="1"/>
      <c r="B111" s="71" t="str">
        <f>Data!$T$1</f>
        <v>Meyer Sound Laboratories, Inc. Berkeley, California, USA                                 www.meyersound.com</v>
      </c>
      <c r="C111" s="1"/>
      <c r="D111" s="1"/>
      <c r="E111" s="1"/>
      <c r="F111" s="1"/>
      <c r="G111" s="1"/>
      <c r="H111" s="1"/>
      <c r="I111" s="1"/>
      <c r="J111" s="1"/>
      <c r="K111" s="1"/>
      <c r="L111" s="1"/>
      <c r="M111" s="1"/>
      <c r="N111" s="1"/>
      <c r="O111" s="1"/>
      <c r="P111" s="126" t="str">
        <f>Data!$G$1</f>
        <v>© 2021</v>
      </c>
      <c r="AE111"/>
      <c r="AF111"/>
      <c r="AG111"/>
      <c r="AH111"/>
      <c r="AI111"/>
      <c r="AJ111"/>
      <c r="AK111"/>
      <c r="AL111"/>
    </row>
    <row r="112" spans="1:38" x14ac:dyDescent="0.2">
      <c r="A112" s="133"/>
      <c r="B112" s="133"/>
      <c r="C112" s="133"/>
      <c r="D112" s="133"/>
      <c r="E112" s="133"/>
      <c r="F112" s="133"/>
      <c r="G112" s="133"/>
      <c r="H112" s="133"/>
      <c r="I112" s="133"/>
      <c r="J112" s="133"/>
      <c r="K112" s="133"/>
      <c r="L112" s="133"/>
      <c r="M112" s="133"/>
      <c r="N112" s="133"/>
      <c r="O112" s="164" t="str">
        <f>Data!$M$1</f>
        <v>06.257.005.01 C</v>
      </c>
      <c r="P112" s="133"/>
      <c r="T112"/>
      <c r="U112"/>
      <c r="V112"/>
      <c r="W112"/>
      <c r="X112"/>
      <c r="Y112"/>
      <c r="Z112"/>
      <c r="AA112"/>
      <c r="AB112"/>
      <c r="AC112"/>
      <c r="AD112"/>
      <c r="AE112"/>
      <c r="AF112"/>
      <c r="AG112"/>
      <c r="AH112"/>
      <c r="AI112"/>
      <c r="AJ112"/>
      <c r="AK112"/>
      <c r="AL112"/>
    </row>
    <row r="113" spans="1:38" x14ac:dyDescent="0.2">
      <c r="A113" s="1"/>
      <c r="B113" s="10" t="s">
        <v>192</v>
      </c>
      <c r="C113" s="1"/>
      <c r="D113" s="11" t="s">
        <v>166</v>
      </c>
      <c r="E113" s="138">
        <f>'Master EU'!$D$4</f>
        <v>230</v>
      </c>
      <c r="F113" s="11" t="s">
        <v>167</v>
      </c>
      <c r="G113" s="138">
        <f>'Master EU'!$G$4</f>
        <v>230</v>
      </c>
      <c r="H113" s="11" t="s">
        <v>168</v>
      </c>
      <c r="I113" s="332">
        <f>'Master EU'!$J$4</f>
        <v>230</v>
      </c>
      <c r="J113" s="570" t="s">
        <v>193</v>
      </c>
      <c r="K113" s="570"/>
      <c r="L113" s="335" t="s">
        <v>194</v>
      </c>
      <c r="M113" s="27"/>
      <c r="N113" s="31">
        <v>2.5</v>
      </c>
      <c r="O113" s="30" t="s">
        <v>107</v>
      </c>
      <c r="P113" s="1"/>
      <c r="T113"/>
      <c r="U113"/>
      <c r="V113"/>
      <c r="W113"/>
      <c r="X113"/>
      <c r="Y113"/>
      <c r="Z113"/>
      <c r="AA113"/>
      <c r="AB113"/>
      <c r="AC113"/>
      <c r="AD113"/>
      <c r="AE113"/>
      <c r="AF113"/>
      <c r="AG113"/>
      <c r="AH113"/>
      <c r="AI113"/>
      <c r="AJ113"/>
      <c r="AK113"/>
      <c r="AL113"/>
    </row>
    <row r="114" spans="1:38" ht="5" customHeight="1" x14ac:dyDescent="0.25">
      <c r="A114" s="1"/>
      <c r="B114" s="2"/>
      <c r="C114" s="1"/>
      <c r="D114" s="5"/>
      <c r="E114" s="40">
        <v>230</v>
      </c>
      <c r="F114" s="5"/>
      <c r="G114" s="40"/>
      <c r="H114" s="5"/>
      <c r="I114" s="8"/>
      <c r="J114" s="400">
        <f>(((D116)*E113)/1000)+(((F116)*G113)/1000)+(((H116)*I113)/1000)</f>
        <v>25.667999999999999</v>
      </c>
      <c r="K114" s="400" t="s">
        <v>196</v>
      </c>
      <c r="L114" s="1"/>
      <c r="M114" s="1"/>
      <c r="N114" s="1"/>
      <c r="O114" s="1"/>
      <c r="P114" s="1"/>
      <c r="T114"/>
      <c r="U114"/>
      <c r="V114"/>
      <c r="W114"/>
      <c r="X114"/>
      <c r="Y114"/>
      <c r="Z114"/>
      <c r="AA114"/>
      <c r="AB114"/>
      <c r="AC114"/>
      <c r="AD114"/>
      <c r="AE114"/>
      <c r="AF114"/>
      <c r="AG114"/>
      <c r="AH114"/>
      <c r="AI114"/>
      <c r="AJ114"/>
      <c r="AK114"/>
      <c r="AL114"/>
    </row>
    <row r="115" spans="1:38" ht="16" customHeight="1" x14ac:dyDescent="0.2">
      <c r="A115" s="1"/>
      <c r="B115" s="23" t="str">
        <f>_xlfn.TEXTJOIN("",FALSE,"MLTC + ",'Master EU'!D11,"%")</f>
        <v>MLTC + 30%</v>
      </c>
      <c r="C115" s="1"/>
      <c r="D115" s="25">
        <f>(D125+J125)*(1+('Master EU'!D11/100))</f>
        <v>28.6</v>
      </c>
      <c r="E115" s="41" t="str">
        <f>IF(D115&gt;Data!$AC$6,"&lt;OVER!","A RMS")</f>
        <v>A RMS</v>
      </c>
      <c r="F115" s="25">
        <f>(F125+L125)*(1+('Master EU'!D11/100))</f>
        <v>28.6</v>
      </c>
      <c r="G115" s="41" t="str">
        <f>IF(F115&gt;Data!$AC$6,"&lt;OVER!","A RMS")</f>
        <v>A RMS</v>
      </c>
      <c r="H115" s="25">
        <f>(H125+N125)*(1+('Master EU'!D11/100))</f>
        <v>28.6</v>
      </c>
      <c r="I115" s="333" t="str">
        <f>IF(H115&gt;Data!$AC$6,"&lt;OVER!","A RMS")</f>
        <v>A RMS</v>
      </c>
      <c r="J115" s="550" t="s">
        <v>197</v>
      </c>
      <c r="K115" s="551"/>
      <c r="L115" s="552"/>
      <c r="M115" s="562" t="str">
        <f>IF('EU MDM-5000'!S121&gt;0,"N O !","O K")</f>
        <v>O K</v>
      </c>
      <c r="N115" s="563"/>
      <c r="O115" s="568">
        <v>4</v>
      </c>
      <c r="P115" s="569"/>
      <c r="R115" s="109" t="s">
        <v>198</v>
      </c>
      <c r="T115"/>
      <c r="U115"/>
      <c r="V115"/>
      <c r="W115"/>
      <c r="X115"/>
      <c r="Y115"/>
      <c r="Z115"/>
      <c r="AA115"/>
      <c r="AB115"/>
      <c r="AC115"/>
      <c r="AD115"/>
      <c r="AE115"/>
      <c r="AF115"/>
      <c r="AG115"/>
      <c r="AH115"/>
      <c r="AI115"/>
      <c r="AJ115"/>
      <c r="AK115"/>
      <c r="AL115"/>
    </row>
    <row r="116" spans="1:38" ht="15" customHeight="1" x14ac:dyDescent="0.2">
      <c r="A116" s="1"/>
      <c r="B116" s="23" t="s">
        <v>199</v>
      </c>
      <c r="C116" s="1"/>
      <c r="D116" s="25">
        <f>D126+J126</f>
        <v>37.200000000000003</v>
      </c>
      <c r="E116" s="41" t="s">
        <v>116</v>
      </c>
      <c r="F116" s="25">
        <f>F126+L126</f>
        <v>37.200000000000003</v>
      </c>
      <c r="G116" s="41" t="s">
        <v>116</v>
      </c>
      <c r="H116" s="25">
        <f>H126+N126</f>
        <v>37.200000000000003</v>
      </c>
      <c r="I116" s="333" t="s">
        <v>116</v>
      </c>
      <c r="J116" s="551"/>
      <c r="K116" s="551"/>
      <c r="L116" s="552"/>
      <c r="M116" s="564"/>
      <c r="N116" s="565"/>
      <c r="O116" s="568"/>
      <c r="P116" s="569"/>
      <c r="R116" s="109" t="s">
        <v>162</v>
      </c>
      <c r="S116" s="109">
        <f>IF(OR('EU MDM-5000'!D115&gt;Data!$AC$6,'EU MDM-5000'!F115&gt;Data!$AC$6,'EU MDM-5000'!H115&gt;Data!$AC$6),1,0)</f>
        <v>0</v>
      </c>
      <c r="T116"/>
      <c r="U116"/>
      <c r="V116"/>
      <c r="W116"/>
      <c r="X116"/>
      <c r="Y116"/>
      <c r="Z116"/>
      <c r="AA116"/>
      <c r="AB116"/>
      <c r="AC116"/>
      <c r="AD116"/>
      <c r="AE116"/>
      <c r="AF116"/>
      <c r="AG116"/>
      <c r="AH116"/>
      <c r="AI116"/>
      <c r="AJ116"/>
      <c r="AK116"/>
      <c r="AL116"/>
    </row>
    <row r="117" spans="1:38" ht="15" customHeight="1" x14ac:dyDescent="0.2">
      <c r="A117" s="1"/>
      <c r="B117" s="24" t="s">
        <v>200</v>
      </c>
      <c r="C117" s="1"/>
      <c r="D117" s="26">
        <f>D127+J127</f>
        <v>87.199999999999989</v>
      </c>
      <c r="E117" s="42" t="s">
        <v>117</v>
      </c>
      <c r="F117" s="26">
        <f>F127+L127</f>
        <v>87.199999999999989</v>
      </c>
      <c r="G117" s="42" t="s">
        <v>117</v>
      </c>
      <c r="H117" s="26">
        <f>H127+N127</f>
        <v>87.199999999999989</v>
      </c>
      <c r="I117" s="334" t="s">
        <v>117</v>
      </c>
      <c r="J117" s="551"/>
      <c r="K117" s="551"/>
      <c r="L117" s="552"/>
      <c r="M117" s="566"/>
      <c r="N117" s="567"/>
      <c r="O117" s="568"/>
      <c r="P117" s="569"/>
      <c r="R117" s="109" t="s">
        <v>201</v>
      </c>
      <c r="S117" s="109">
        <f>IF(OR('EU MDM-5000'!D125&gt;Data!$AC$7,'EU MDM-5000'!F125&gt;Data!$AC$7,'EU MDM-5000'!H125&gt;Data!$AC$7,'EU MDM-5000'!J125&gt;Data!$AC$7,'EU MDM-5000'!L125&gt;Data!$AC$7,'EU MDM-5000'!N125&gt;Data!$AC$7),1,0)</f>
        <v>0</v>
      </c>
      <c r="T117"/>
      <c r="U117"/>
      <c r="V117"/>
      <c r="W117"/>
      <c r="X117"/>
      <c r="Y117"/>
      <c r="Z117"/>
      <c r="AA117"/>
      <c r="AB117"/>
      <c r="AC117"/>
      <c r="AD117"/>
      <c r="AE117"/>
      <c r="AF117"/>
      <c r="AG117"/>
      <c r="AH117"/>
      <c r="AI117"/>
      <c r="AJ117"/>
      <c r="AK117"/>
      <c r="AL117"/>
    </row>
    <row r="118" spans="1:38" ht="8" customHeight="1" thickBot="1" x14ac:dyDescent="0.25">
      <c r="A118" s="1"/>
      <c r="B118" s="1"/>
      <c r="C118" s="1"/>
      <c r="D118" s="1"/>
      <c r="E118" s="1"/>
      <c r="F118" s="1"/>
      <c r="G118" s="1"/>
      <c r="H118" s="1"/>
      <c r="I118" s="1"/>
      <c r="J118" s="1"/>
      <c r="K118" s="1"/>
      <c r="L118" s="1"/>
      <c r="M118" s="1"/>
      <c r="N118" s="1"/>
      <c r="O118" s="1"/>
      <c r="P118" s="1"/>
      <c r="R118" s="109" t="s">
        <v>202</v>
      </c>
      <c r="S118" s="109">
        <f>IF(OR('EU MDM-5000'!D127&gt;Data!$AC$8,'EU MDM-5000'!F127&gt;Data!$AC$8,'EU MDM-5000'!H127&gt;Data!$AC$8,'EU MDM-5000'!J127&gt;Data!$AC$8,'EU MDM-5000'!L127&gt;Data!$AC$8,'EU MDM-5000'!N127&gt;Data!$AC$8),1,0)</f>
        <v>0</v>
      </c>
      <c r="T118"/>
      <c r="U118"/>
      <c r="V118"/>
      <c r="W118"/>
      <c r="X118"/>
      <c r="Y118"/>
      <c r="Z118"/>
      <c r="AA118"/>
      <c r="AB118"/>
      <c r="AC118"/>
      <c r="AD118"/>
      <c r="AE118"/>
      <c r="AF118"/>
      <c r="AG118"/>
      <c r="AH118"/>
      <c r="AI118"/>
      <c r="AJ118"/>
      <c r="AK118"/>
      <c r="AL118"/>
    </row>
    <row r="119" spans="1:38" x14ac:dyDescent="0.2">
      <c r="A119" s="1"/>
      <c r="B119" s="10" t="s">
        <v>203</v>
      </c>
      <c r="C119" s="1"/>
      <c r="D119" s="560">
        <v>1</v>
      </c>
      <c r="E119" s="561"/>
      <c r="F119" s="553">
        <v>2</v>
      </c>
      <c r="G119" s="561"/>
      <c r="H119" s="553">
        <v>3</v>
      </c>
      <c r="I119" s="561"/>
      <c r="J119" s="553">
        <v>4</v>
      </c>
      <c r="K119" s="561"/>
      <c r="L119" s="553">
        <v>5</v>
      </c>
      <c r="M119" s="561"/>
      <c r="N119" s="553">
        <v>6</v>
      </c>
      <c r="O119" s="554"/>
      <c r="P119" s="1"/>
      <c r="R119" s="109" t="s">
        <v>204</v>
      </c>
      <c r="S119" s="109">
        <f>IF(OR('EU MDM-5000'!D133&gt;Data!$AC$13,'EU MDM-5000'!F133&gt;Data!$AC$13,'EU MDM-5000'!H133&gt;Data!$AC$13,'EU MDM-5000'!J133&gt;Data!$AC$13,'EU MDM-5000'!L133&gt;Data!$AC$13,'EU MDM-5000'!N133&gt;Data!$AC$13),1,0)</f>
        <v>0</v>
      </c>
      <c r="T119"/>
      <c r="U119"/>
      <c r="V119"/>
      <c r="W119"/>
      <c r="X119"/>
      <c r="Y119"/>
      <c r="Z119"/>
      <c r="AA119"/>
      <c r="AB119"/>
      <c r="AC119"/>
      <c r="AD119"/>
      <c r="AE119"/>
      <c r="AF119"/>
      <c r="AG119"/>
      <c r="AH119"/>
      <c r="AI119"/>
      <c r="AJ119"/>
      <c r="AK119"/>
      <c r="AL119"/>
    </row>
    <row r="120" spans="1:38" x14ac:dyDescent="0.2">
      <c r="A120" s="1"/>
      <c r="B120" s="23" t="s">
        <v>205</v>
      </c>
      <c r="C120" s="1"/>
      <c r="D120" s="32" t="s">
        <v>236</v>
      </c>
      <c r="E120" s="33">
        <v>8</v>
      </c>
      <c r="F120" s="34" t="s">
        <v>236</v>
      </c>
      <c r="G120" s="33">
        <v>8</v>
      </c>
      <c r="H120" s="34" t="s">
        <v>236</v>
      </c>
      <c r="I120" s="33">
        <v>8</v>
      </c>
      <c r="J120" s="34" t="s">
        <v>237</v>
      </c>
      <c r="K120" s="33">
        <v>4</v>
      </c>
      <c r="L120" s="34" t="s">
        <v>237</v>
      </c>
      <c r="M120" s="33">
        <v>4</v>
      </c>
      <c r="N120" s="34" t="s">
        <v>237</v>
      </c>
      <c r="O120" s="35">
        <v>4</v>
      </c>
      <c r="P120" s="1"/>
      <c r="T120"/>
      <c r="U120"/>
      <c r="V120"/>
      <c r="W120"/>
      <c r="X120"/>
      <c r="Y120"/>
      <c r="Z120"/>
      <c r="AA120"/>
      <c r="AB120"/>
      <c r="AC120"/>
      <c r="AD120"/>
      <c r="AE120"/>
      <c r="AF120"/>
      <c r="AG120"/>
      <c r="AH120"/>
      <c r="AI120"/>
      <c r="AJ120"/>
      <c r="AK120"/>
      <c r="AL120"/>
    </row>
    <row r="121" spans="1:38" x14ac:dyDescent="0.2">
      <c r="A121" s="1"/>
      <c r="B121" s="23" t="s">
        <v>205</v>
      </c>
      <c r="C121" s="1"/>
      <c r="D121" s="36" t="s">
        <v>127</v>
      </c>
      <c r="E121" s="33">
        <v>0</v>
      </c>
      <c r="F121" s="37" t="s">
        <v>127</v>
      </c>
      <c r="G121" s="33">
        <v>0</v>
      </c>
      <c r="H121" s="37" t="s">
        <v>127</v>
      </c>
      <c r="I121" s="33">
        <v>0</v>
      </c>
      <c r="J121" s="37" t="s">
        <v>127</v>
      </c>
      <c r="K121" s="33">
        <v>0</v>
      </c>
      <c r="L121" s="37" t="s">
        <v>127</v>
      </c>
      <c r="M121" s="33">
        <v>0</v>
      </c>
      <c r="N121" s="37" t="s">
        <v>127</v>
      </c>
      <c r="O121" s="35">
        <v>0</v>
      </c>
      <c r="P121" s="1"/>
      <c r="R121" s="109" t="s">
        <v>208</v>
      </c>
      <c r="S121" s="109">
        <f>SUM(S116:S119)</f>
        <v>0</v>
      </c>
      <c r="T121"/>
      <c r="U121"/>
      <c r="V121"/>
      <c r="W121"/>
      <c r="X121"/>
      <c r="Y121"/>
      <c r="Z121"/>
      <c r="AA121"/>
      <c r="AB121"/>
      <c r="AC121"/>
      <c r="AD121"/>
      <c r="AE121">
        <f t="shared" ref="AE121:AJ122" si="22">IF(OR(AND($D120=AE$1,$E120&gt;0),AND($F120=AE$1,$G120&gt;0),AND($H120=AE$1,$I120&gt;0),AND($J120=AE$1,$K120&gt;0),AND($L120=AE$1,$M120&gt;0),AND($N120=AE$1,$O120&gt;0)),1,0)</f>
        <v>0</v>
      </c>
      <c r="AF121">
        <f t="shared" si="22"/>
        <v>0</v>
      </c>
      <c r="AG121">
        <f t="shared" si="22"/>
        <v>0</v>
      </c>
      <c r="AH121">
        <f t="shared" si="22"/>
        <v>0</v>
      </c>
      <c r="AI121">
        <f t="shared" si="22"/>
        <v>0</v>
      </c>
      <c r="AJ121">
        <f t="shared" si="22"/>
        <v>0</v>
      </c>
      <c r="AK121"/>
      <c r="AL121"/>
    </row>
    <row r="122" spans="1:38" x14ac:dyDescent="0.2">
      <c r="A122" s="1"/>
      <c r="B122" s="23" t="s">
        <v>121</v>
      </c>
      <c r="C122" s="1"/>
      <c r="D122" s="38">
        <v>30</v>
      </c>
      <c r="E122" s="29" t="s">
        <v>209</v>
      </c>
      <c r="F122" s="39">
        <v>30</v>
      </c>
      <c r="G122" s="29" t="s">
        <v>209</v>
      </c>
      <c r="H122" s="39">
        <v>30</v>
      </c>
      <c r="I122" s="29" t="s">
        <v>209</v>
      </c>
      <c r="J122" s="39">
        <v>30</v>
      </c>
      <c r="K122" s="29" t="s">
        <v>209</v>
      </c>
      <c r="L122" s="39">
        <v>30</v>
      </c>
      <c r="M122" s="29" t="s">
        <v>209</v>
      </c>
      <c r="N122" s="39">
        <v>30</v>
      </c>
      <c r="O122" s="28" t="s">
        <v>209</v>
      </c>
      <c r="P122" s="1"/>
      <c r="T122"/>
      <c r="U122"/>
      <c r="V122"/>
      <c r="W122"/>
      <c r="X122"/>
      <c r="Y122"/>
      <c r="Z122"/>
      <c r="AA122"/>
      <c r="AB122"/>
      <c r="AC122"/>
      <c r="AD122"/>
      <c r="AE122">
        <f t="shared" si="22"/>
        <v>0</v>
      </c>
      <c r="AF122">
        <f t="shared" si="22"/>
        <v>0</v>
      </c>
      <c r="AG122">
        <f t="shared" si="22"/>
        <v>0</v>
      </c>
      <c r="AH122">
        <f t="shared" si="22"/>
        <v>0</v>
      </c>
      <c r="AI122">
        <f t="shared" si="22"/>
        <v>0</v>
      </c>
      <c r="AJ122">
        <f t="shared" si="22"/>
        <v>0</v>
      </c>
      <c r="AK122"/>
      <c r="AL122"/>
    </row>
    <row r="123" spans="1:38" ht="11" customHeight="1" x14ac:dyDescent="0.2">
      <c r="A123" s="1"/>
      <c r="B123" s="2"/>
      <c r="C123" s="1"/>
      <c r="D123" s="555" t="s">
        <v>210</v>
      </c>
      <c r="E123" s="556"/>
      <c r="F123" s="556"/>
      <c r="G123" s="556"/>
      <c r="H123" s="556"/>
      <c r="I123" s="556"/>
      <c r="J123" s="557" t="s">
        <v>210</v>
      </c>
      <c r="K123" s="556"/>
      <c r="L123" s="556"/>
      <c r="M123" s="556"/>
      <c r="N123" s="556"/>
      <c r="O123" s="558"/>
      <c r="P123" s="1"/>
      <c r="T123"/>
      <c r="U123"/>
      <c r="V123"/>
      <c r="W123"/>
      <c r="X123"/>
      <c r="Y123"/>
      <c r="Z123"/>
      <c r="AA123"/>
      <c r="AB123"/>
      <c r="AC123"/>
      <c r="AD123"/>
      <c r="AE123"/>
      <c r="AF123"/>
      <c r="AG123"/>
      <c r="AH123"/>
      <c r="AI123"/>
      <c r="AJ123"/>
      <c r="AK123"/>
      <c r="AL123"/>
    </row>
    <row r="124" spans="1:38" ht="6" customHeight="1" x14ac:dyDescent="0.2">
      <c r="A124" s="1"/>
      <c r="B124" s="2"/>
      <c r="C124" s="1"/>
      <c r="D124" s="3"/>
      <c r="E124" s="4"/>
      <c r="F124" s="5"/>
      <c r="G124" s="4"/>
      <c r="H124" s="5"/>
      <c r="I124" s="4"/>
      <c r="J124" s="5"/>
      <c r="K124" s="4"/>
      <c r="L124" s="5"/>
      <c r="M124" s="4"/>
      <c r="N124" s="5"/>
      <c r="O124" s="6"/>
      <c r="P124" s="1"/>
      <c r="T124"/>
      <c r="U124"/>
      <c r="V124"/>
      <c r="W124"/>
      <c r="X124"/>
      <c r="Y124"/>
      <c r="Z124"/>
      <c r="AA124"/>
      <c r="AB124"/>
      <c r="AC124"/>
      <c r="AD124"/>
      <c r="AE124"/>
      <c r="AF124"/>
      <c r="AG124"/>
      <c r="AH124"/>
      <c r="AI124"/>
      <c r="AJ124"/>
      <c r="AK124"/>
      <c r="AL124"/>
    </row>
    <row r="125" spans="1:38" x14ac:dyDescent="0.2">
      <c r="A125" s="1"/>
      <c r="B125" s="23" t="s">
        <v>211</v>
      </c>
      <c r="C125" s="1"/>
      <c r="D125" s="12">
        <f>(((VLOOKUP($D120,Data!$R$4:$U$69,2,FALSE)*$E120)+(VLOOKUP($D121,Data!$R$4:$U$69,2,FALSE)*$E121))/E113)*Data!$R$3</f>
        <v>12</v>
      </c>
      <c r="E125" s="13" t="str">
        <f>IF(D125&gt;Data!$AC$7,"&lt;OVER!","A RMS")</f>
        <v>A RMS</v>
      </c>
      <c r="F125" s="14">
        <f>(((VLOOKUP($F120,Data!$R$4:$U$69,2,FALSE)*$G120)+(VLOOKUP($F121,Data!$R$4:$U$69,2,FALSE)*$G121))/G113)*Data!$R$3</f>
        <v>12</v>
      </c>
      <c r="G125" s="13" t="str">
        <f>IF(F125&gt;Data!$AC$7,"&lt;OVER!","A RMS")</f>
        <v>A RMS</v>
      </c>
      <c r="H125" s="14">
        <f>(((VLOOKUP($H120,Data!$R$4:$U$69,2,FALSE)*$I120)+(VLOOKUP($H121,Data!$R$4:$U$69,2,FALSE)*$I121))/I113)*Data!$R$3</f>
        <v>12</v>
      </c>
      <c r="I125" s="13" t="str">
        <f>IF(H125&gt;Data!$AC$7,"&lt;OVER!","A RMS")</f>
        <v>A RMS</v>
      </c>
      <c r="J125" s="14">
        <f>(((VLOOKUP($J120,Data!$R$4:$U$69,2,FALSE)*$K120)+(VLOOKUP($J121,Data!$R$4:$U$69,2,FALSE)*$K121))/E113)*Data!$R$3</f>
        <v>10</v>
      </c>
      <c r="K125" s="13" t="str">
        <f>IF(J125&gt;Data!$AC$7,"&lt;OVER!","A RMS")</f>
        <v>A RMS</v>
      </c>
      <c r="L125" s="14">
        <f>(((VLOOKUP($L120,Data!$R$4:$U$69,2,FALSE)*$M120)+(VLOOKUP($L121,Data!$R$4:$U$69,2,FALSE)*$M121))/G113)*Data!$R$3</f>
        <v>10</v>
      </c>
      <c r="M125" s="13" t="str">
        <f>IF(L125&gt;Data!$AC$7,"&lt;OVER!","A RMS")</f>
        <v>A RMS</v>
      </c>
      <c r="N125" s="14">
        <f>(((VLOOKUP($N120,Data!$R$4:$U$69,2,FALSE)*$O120)+(VLOOKUP($N121,Data!$R$4:$U$69,2,FALSE)*$O121))/I113)*Data!$R$3</f>
        <v>10</v>
      </c>
      <c r="O125" s="15" t="str">
        <f>IF(N125&gt;Data!$AC$7,"&lt;OVER!","A RMS")</f>
        <v>A RMS</v>
      </c>
      <c r="P125" s="1"/>
      <c r="T125"/>
      <c r="U125"/>
      <c r="V125"/>
      <c r="W125"/>
      <c r="X125"/>
      <c r="Y125"/>
      <c r="Z125"/>
      <c r="AA125"/>
      <c r="AB125"/>
      <c r="AC125"/>
      <c r="AD125"/>
      <c r="AE125"/>
      <c r="AF125"/>
      <c r="AG125"/>
      <c r="AH125"/>
      <c r="AI125"/>
      <c r="AJ125"/>
      <c r="AK125"/>
      <c r="AL125"/>
    </row>
    <row r="126" spans="1:38" x14ac:dyDescent="0.2">
      <c r="A126" s="1"/>
      <c r="B126" s="23" t="s">
        <v>199</v>
      </c>
      <c r="C126" s="1"/>
      <c r="D126" s="12">
        <f>(((VLOOKUP($D120,Data!$R$4:$U$69,3,FALSE)*$E120)+(VLOOKUP($D121,Data!$R$4:$U$69,3,FALSE)*$E121))/E113)*Data!$R$3</f>
        <v>18.399999999999999</v>
      </c>
      <c r="E126" s="13" t="s">
        <v>116</v>
      </c>
      <c r="F126" s="14">
        <f>(((VLOOKUP($F120,Data!$R$4:$U$69,3,FALSE)*$G120)+(VLOOKUP($F121,Data!$R$4:$U$69,3,FALSE)*$G121))/G113)*Data!$R$3</f>
        <v>18.399999999999999</v>
      </c>
      <c r="G126" s="13" t="s">
        <v>116</v>
      </c>
      <c r="H126" s="14">
        <f>(((VLOOKUP($H120,Data!$R$4:$U$69,3,FALSE)*$I120)+(VLOOKUP($H121,Data!$R$4:$U$69,3,FALSE)*$I121))/I113)*Data!$R$3</f>
        <v>18.399999999999999</v>
      </c>
      <c r="I126" s="13" t="s">
        <v>116</v>
      </c>
      <c r="J126" s="14">
        <f>(((VLOOKUP($J120,Data!$R$4:$U$69,3,FALSE)*$K120)+(VLOOKUP($J121,Data!$R$4:$U$69,3,FALSE)*$K121))/E113)*Data!$R$3</f>
        <v>18.8</v>
      </c>
      <c r="K126" s="13" t="s">
        <v>116</v>
      </c>
      <c r="L126" s="14">
        <f>(((VLOOKUP($L120,Data!$R$4:$U$69,3,FALSE)*$M120)+(VLOOKUP($L121,Data!$R$4:$U$69,3,FALSE)*$M121))/G113)*Data!$R$3</f>
        <v>18.8</v>
      </c>
      <c r="M126" s="13" t="s">
        <v>116</v>
      </c>
      <c r="N126" s="14">
        <f>(((VLOOKUP($N120,Data!$R$4:$U$69,3,FALSE)*$O120)+(VLOOKUP($N121,Data!$R$4:$U$69,3,FALSE)*$O121))/I113)*Data!$R$3</f>
        <v>18.8</v>
      </c>
      <c r="O126" s="15" t="s">
        <v>116</v>
      </c>
      <c r="P126" s="1"/>
      <c r="T126"/>
      <c r="U126"/>
      <c r="V126"/>
      <c r="W126"/>
      <c r="X126"/>
      <c r="Y126"/>
      <c r="Z126"/>
      <c r="AA126"/>
      <c r="AB126"/>
      <c r="AC126"/>
      <c r="AD126"/>
      <c r="AE126"/>
      <c r="AF126"/>
      <c r="AG126"/>
      <c r="AH126"/>
      <c r="AI126"/>
      <c r="AJ126"/>
      <c r="AK126"/>
      <c r="AL126"/>
    </row>
    <row r="127" spans="1:38" x14ac:dyDescent="0.2">
      <c r="A127" s="1"/>
      <c r="B127" s="23" t="s">
        <v>200</v>
      </c>
      <c r="C127" s="1"/>
      <c r="D127" s="12">
        <f>(((VLOOKUP($D120,Data!$R$4:$U$69,4,FALSE)*$E120)+(VLOOKUP($D121,Data!$R$4:$U$69,4,FALSE)*$E121))/E113)*Data!$R$3</f>
        <v>50.4</v>
      </c>
      <c r="E127" s="13" t="str">
        <f>IF(D127&gt;Data!$AC$8,"&lt;OVER!","A Pk")</f>
        <v>A Pk</v>
      </c>
      <c r="F127" s="14">
        <f>(((VLOOKUP($F120,Data!$R$4:$U$69,4,FALSE)*$G120)+(VLOOKUP($F121,Data!$R$4:$U$69,4,FALSE)*$G121))/G113)*Data!$R$3</f>
        <v>50.4</v>
      </c>
      <c r="G127" s="13" t="str">
        <f>IF(F127&gt;Data!$AC$8,"&lt;OVER!","A Pk")</f>
        <v>A Pk</v>
      </c>
      <c r="H127" s="14">
        <f>(((VLOOKUP($H120,Data!$R$4:$U$69,4,FALSE)*$I120)+(VLOOKUP($H121,Data!$R$4:$U$69,4,FALSE)*$I121))/I113)*Data!$R$3</f>
        <v>50.4</v>
      </c>
      <c r="I127" s="13" t="str">
        <f>IF(H127&gt;Data!$AC$8,"&lt;OVER!","A Pk")</f>
        <v>A Pk</v>
      </c>
      <c r="J127" s="14">
        <f>(((VLOOKUP($J120,Data!$R$4:$U$69,4,FALSE)*$K120)+(VLOOKUP($J121,Data!$R$4:$U$69,4,FALSE)*$K121))/E113)*Data!$R$3</f>
        <v>36.799999999999997</v>
      </c>
      <c r="K127" s="13" t="str">
        <f>IF(J127&gt;Data!$AC$8,"&lt;OVER!","A Pk")</f>
        <v>A Pk</v>
      </c>
      <c r="L127" s="14">
        <f>(((VLOOKUP($L120,Data!$R$4:$U$69,4,FALSE)*$M120)+(VLOOKUP($L121,Data!$R$4:$U$69,4,FALSE)*$M121))/G113)*Data!$R$3</f>
        <v>36.799999999999997</v>
      </c>
      <c r="M127" s="13" t="str">
        <f>IF(L127&gt;Data!$AC$8,"&lt;OVER!","A Pk")</f>
        <v>A Pk</v>
      </c>
      <c r="N127" s="14">
        <f>(((VLOOKUP($N120,Data!$R$4:$U$69,4,FALSE)*$O120)+(VLOOKUP($N121,Data!$R$4:$U$69,4,FALSE)*$O121))/I113)*Data!$R$3</f>
        <v>36.799999999999997</v>
      </c>
      <c r="O127" s="15" t="str">
        <f>IF(N127&gt;Data!$AC$8,"&lt;OVER!","A Pk")</f>
        <v>A Pk</v>
      </c>
      <c r="P127" s="1"/>
      <c r="T127"/>
      <c r="U127"/>
      <c r="V127"/>
      <c r="W127"/>
      <c r="X127"/>
      <c r="Y127"/>
      <c r="Z127"/>
      <c r="AA127"/>
      <c r="AB127"/>
      <c r="AC127"/>
      <c r="AD127"/>
      <c r="AE127"/>
      <c r="AF127"/>
      <c r="AG127"/>
      <c r="AH127"/>
      <c r="AI127"/>
      <c r="AJ127"/>
      <c r="AK127"/>
      <c r="AL127"/>
    </row>
    <row r="128" spans="1:38" ht="6" customHeight="1" x14ac:dyDescent="0.2">
      <c r="A128" s="1"/>
      <c r="B128" s="23"/>
      <c r="C128" s="1"/>
      <c r="D128" s="12"/>
      <c r="E128" s="16"/>
      <c r="F128" s="14"/>
      <c r="G128" s="16"/>
      <c r="H128" s="14"/>
      <c r="I128" s="16"/>
      <c r="J128" s="14"/>
      <c r="K128" s="16"/>
      <c r="L128" s="14"/>
      <c r="M128" s="16"/>
      <c r="N128" s="14"/>
      <c r="O128" s="15"/>
      <c r="P128" s="1"/>
      <c r="AE128"/>
      <c r="AF128"/>
      <c r="AG128"/>
      <c r="AH128"/>
      <c r="AI128"/>
      <c r="AJ128"/>
      <c r="AK128"/>
      <c r="AL128"/>
    </row>
    <row r="129" spans="1:38" x14ac:dyDescent="0.2">
      <c r="A129" s="1"/>
      <c r="B129" s="23" t="s">
        <v>212</v>
      </c>
      <c r="C129" s="1"/>
      <c r="D129" s="17">
        <f>(17*(10^-8))*((2*D122)/($N$113*(10^-5)))</f>
        <v>0.40800000000000003</v>
      </c>
      <c r="E129" s="16" t="s">
        <v>213</v>
      </c>
      <c r="F129" s="18">
        <f>(17*(10^-8))*((2*F122)/($N$113*(10^-5)))</f>
        <v>0.40800000000000003</v>
      </c>
      <c r="G129" s="16" t="s">
        <v>213</v>
      </c>
      <c r="H129" s="18">
        <f>(17*(10^-8))*((2*H122)/($N$113*(10^-5)))</f>
        <v>0.40800000000000003</v>
      </c>
      <c r="I129" s="16" t="s">
        <v>213</v>
      </c>
      <c r="J129" s="18">
        <f>(17*(10^-8))*((2*J122)/($N$113*(10^-5)))</f>
        <v>0.40800000000000003</v>
      </c>
      <c r="K129" s="16" t="s">
        <v>213</v>
      </c>
      <c r="L129" s="18">
        <f>(17*(10^-8))*((2*L122)/($N$113*(10^-5)))</f>
        <v>0.40800000000000003</v>
      </c>
      <c r="M129" s="16" t="s">
        <v>213</v>
      </c>
      <c r="N129" s="18">
        <f>(17*(10^-8))*((2*N122)/($N$113*(10^-5)))</f>
        <v>0.40800000000000003</v>
      </c>
      <c r="O129" s="15" t="s">
        <v>213</v>
      </c>
      <c r="P129" s="1"/>
      <c r="AE129"/>
      <c r="AF129"/>
      <c r="AG129"/>
      <c r="AH129"/>
      <c r="AI129"/>
      <c r="AJ129"/>
      <c r="AK129"/>
      <c r="AL129"/>
    </row>
    <row r="130" spans="1:38" x14ac:dyDescent="0.2">
      <c r="A130" s="1"/>
      <c r="B130" s="23" t="s">
        <v>214</v>
      </c>
      <c r="C130" s="1"/>
      <c r="D130" s="19">
        <f>E113*SQRT(2)</f>
        <v>325.26911934581187</v>
      </c>
      <c r="E130" s="16" t="s">
        <v>215</v>
      </c>
      <c r="F130" s="20">
        <f>G113*SQRT(2)</f>
        <v>325.26911934581187</v>
      </c>
      <c r="G130" s="16" t="s">
        <v>215</v>
      </c>
      <c r="H130" s="20">
        <f>I113*SQRT(2)</f>
        <v>325.26911934581187</v>
      </c>
      <c r="I130" s="16" t="s">
        <v>215</v>
      </c>
      <c r="J130" s="20">
        <f>E113*SQRT(2)</f>
        <v>325.26911934581187</v>
      </c>
      <c r="K130" s="16" t="s">
        <v>215</v>
      </c>
      <c r="L130" s="20">
        <f>G113*SQRT(2)</f>
        <v>325.26911934581187</v>
      </c>
      <c r="M130" s="16" t="s">
        <v>215</v>
      </c>
      <c r="N130" s="20">
        <f>I113*SQRT(2)</f>
        <v>325.26911934581187</v>
      </c>
      <c r="O130" s="15" t="s">
        <v>215</v>
      </c>
      <c r="P130" s="1"/>
      <c r="Q130" s="559" t="s">
        <v>216</v>
      </c>
      <c r="S130" s="111"/>
      <c r="T130" s="112" t="s">
        <v>166</v>
      </c>
      <c r="U130" s="112" t="s">
        <v>167</v>
      </c>
      <c r="V130" s="112" t="s">
        <v>168</v>
      </c>
      <c r="W130" s="112"/>
      <c r="X130" s="111"/>
      <c r="Y130" s="112" t="s">
        <v>217</v>
      </c>
      <c r="Z130" s="112" t="s">
        <v>218</v>
      </c>
      <c r="AA130" s="112" t="s">
        <v>219</v>
      </c>
      <c r="AB130" s="112" t="s">
        <v>220</v>
      </c>
      <c r="AC130" s="112" t="s">
        <v>221</v>
      </c>
      <c r="AD130" s="112" t="s">
        <v>222</v>
      </c>
      <c r="AE130"/>
      <c r="AF130"/>
      <c r="AG130"/>
      <c r="AH130"/>
      <c r="AI130"/>
      <c r="AJ130"/>
      <c r="AK130"/>
      <c r="AL130"/>
    </row>
    <row r="131" spans="1:38" x14ac:dyDescent="0.2">
      <c r="A131" s="1"/>
      <c r="B131" s="23" t="s">
        <v>223</v>
      </c>
      <c r="C131" s="1"/>
      <c r="D131" s="12">
        <f>D127*D129</f>
        <v>20.563200000000002</v>
      </c>
      <c r="E131" s="16" t="s">
        <v>215</v>
      </c>
      <c r="F131" s="14">
        <f>F127*F129</f>
        <v>20.563200000000002</v>
      </c>
      <c r="G131" s="16" t="s">
        <v>215</v>
      </c>
      <c r="H131" s="14">
        <f>H127*H129</f>
        <v>20.563200000000002</v>
      </c>
      <c r="I131" s="16" t="s">
        <v>215</v>
      </c>
      <c r="J131" s="14">
        <f>J127*J129</f>
        <v>15.0144</v>
      </c>
      <c r="K131" s="16" t="s">
        <v>215</v>
      </c>
      <c r="L131" s="14">
        <f>L127*L129</f>
        <v>15.0144</v>
      </c>
      <c r="M131" s="16" t="s">
        <v>215</v>
      </c>
      <c r="N131" s="14">
        <f>N127*N129</f>
        <v>15.0144</v>
      </c>
      <c r="O131" s="15" t="s">
        <v>215</v>
      </c>
      <c r="P131" s="1"/>
      <c r="Q131" s="559"/>
      <c r="S131" s="111" t="s">
        <v>224</v>
      </c>
      <c r="T131" s="112">
        <f>Data!$AC$6</f>
        <v>32</v>
      </c>
      <c r="U131" s="112">
        <f>Data!$AC$6</f>
        <v>32</v>
      </c>
      <c r="V131" s="112">
        <f>Data!$AC$6</f>
        <v>32</v>
      </c>
      <c r="W131" s="112"/>
      <c r="X131" s="111" t="s">
        <v>224</v>
      </c>
      <c r="Y131" s="112">
        <f>Data!$AC$7</f>
        <v>16</v>
      </c>
      <c r="Z131" s="112">
        <f>Data!$AC$7</f>
        <v>16</v>
      </c>
      <c r="AA131" s="112">
        <f>Data!$AC$7</f>
        <v>16</v>
      </c>
      <c r="AB131" s="112">
        <f>Data!$AC$7</f>
        <v>16</v>
      </c>
      <c r="AC131" s="112">
        <f>Data!$AC$7</f>
        <v>16</v>
      </c>
      <c r="AD131" s="112">
        <f>Data!$AC$7</f>
        <v>16</v>
      </c>
      <c r="AE131"/>
      <c r="AF131"/>
      <c r="AG131"/>
      <c r="AH131"/>
      <c r="AI131"/>
      <c r="AJ131"/>
      <c r="AK131"/>
      <c r="AL131"/>
    </row>
    <row r="132" spans="1:38" x14ac:dyDescent="0.2">
      <c r="A132" s="1"/>
      <c r="B132" s="23" t="s">
        <v>225</v>
      </c>
      <c r="C132" s="1"/>
      <c r="D132" s="19">
        <f>D130-D131</f>
        <v>304.70591934581188</v>
      </c>
      <c r="E132" s="16" t="s">
        <v>215</v>
      </c>
      <c r="F132" s="20">
        <f>F130-F131</f>
        <v>304.70591934581188</v>
      </c>
      <c r="G132" s="16" t="s">
        <v>215</v>
      </c>
      <c r="H132" s="20">
        <f>H130-H131</f>
        <v>304.70591934581188</v>
      </c>
      <c r="I132" s="16" t="s">
        <v>215</v>
      </c>
      <c r="J132" s="20">
        <f>J130-J131</f>
        <v>310.25471934581185</v>
      </c>
      <c r="K132" s="16" t="s">
        <v>215</v>
      </c>
      <c r="L132" s="20">
        <f>L130-L131</f>
        <v>310.25471934581185</v>
      </c>
      <c r="M132" s="16" t="s">
        <v>215</v>
      </c>
      <c r="N132" s="20">
        <f>N130-N131</f>
        <v>310.25471934581185</v>
      </c>
      <c r="O132" s="15" t="s">
        <v>215</v>
      </c>
      <c r="P132" s="1"/>
      <c r="Q132" s="559"/>
      <c r="S132" s="111"/>
      <c r="T132" s="112"/>
      <c r="U132" s="112"/>
      <c r="V132" s="112"/>
      <c r="W132" s="112"/>
      <c r="X132" s="111" t="s">
        <v>226</v>
      </c>
      <c r="Y132" s="112">
        <f>Data!$AC$8</f>
        <v>80</v>
      </c>
      <c r="Z132" s="112">
        <f>Data!$AC$8</f>
        <v>80</v>
      </c>
      <c r="AA132" s="112">
        <f>Data!$AC$8</f>
        <v>80</v>
      </c>
      <c r="AB132" s="112">
        <f>Data!$AC$8</f>
        <v>80</v>
      </c>
      <c r="AC132" s="112">
        <f>Data!$AC$8</f>
        <v>80</v>
      </c>
      <c r="AD132" s="112">
        <f>Data!$AC$8</f>
        <v>80</v>
      </c>
      <c r="AE132"/>
      <c r="AF132"/>
      <c r="AG132"/>
      <c r="AH132"/>
      <c r="AI132"/>
      <c r="AJ132"/>
      <c r="AK132"/>
      <c r="AL132"/>
    </row>
    <row r="133" spans="1:38" ht="17" thickBot="1" x14ac:dyDescent="0.25">
      <c r="A133" s="1"/>
      <c r="B133" s="24" t="s">
        <v>227</v>
      </c>
      <c r="C133" s="1"/>
      <c r="D133" s="141">
        <f>(D131*100)/D130</f>
        <v>6.3219035490848761</v>
      </c>
      <c r="E133" s="21" t="str">
        <f>IF(D133&gt;Data!$AC$13,"&lt;OVER!","% V Pk")</f>
        <v>% V Pk</v>
      </c>
      <c r="F133" s="142">
        <f>(F131*100)/F130</f>
        <v>6.3219035490848761</v>
      </c>
      <c r="G133" s="21" t="str">
        <f>IF(F133&gt;Data!$AC$13,"&lt;OVER!","% V Pk")</f>
        <v>% V Pk</v>
      </c>
      <c r="H133" s="142">
        <f>(H131*100)/H130</f>
        <v>6.3219035490848761</v>
      </c>
      <c r="I133" s="21" t="str">
        <f>IF(H133&gt;Data!$AC$13,"&lt;OVER!","% V Pk")</f>
        <v>% V Pk</v>
      </c>
      <c r="J133" s="142">
        <f>(J131*100)/J130</f>
        <v>4.6159930675857819</v>
      </c>
      <c r="K133" s="21" t="str">
        <f>IF(J133&gt;Data!$AC$13,"&lt;OVER!","% V Pk")</f>
        <v>% V Pk</v>
      </c>
      <c r="L133" s="142">
        <f>(L131*100)/L130</f>
        <v>4.6159930675857819</v>
      </c>
      <c r="M133" s="21" t="str">
        <f>IF(L133&gt;Data!$AC$13,"&lt;OVER!","% V Pk")</f>
        <v>% V Pk</v>
      </c>
      <c r="N133" s="142">
        <f>(N131*100)/N130</f>
        <v>4.6159930675857819</v>
      </c>
      <c r="O133" s="22" t="str">
        <f>IF(N133&gt;Data!$AC$13,"&lt;OVER!","% V Pk")</f>
        <v>% V Pk</v>
      </c>
      <c r="P133" s="1"/>
      <c r="Q133" s="559"/>
      <c r="S133" s="111" t="str">
        <f>'EU MDM-5000'!B115</f>
        <v>MLTC + 30%</v>
      </c>
      <c r="T133" s="112">
        <f>'EU MDM-5000'!D115</f>
        <v>28.6</v>
      </c>
      <c r="U133" s="112">
        <f>'EU MDM-5000'!F115</f>
        <v>28.6</v>
      </c>
      <c r="V133" s="112">
        <f>'EU MDM-5000'!H115</f>
        <v>28.6</v>
      </c>
      <c r="W133" s="112"/>
      <c r="X133" s="111" t="str">
        <f>'EU MDM-5000'!B115</f>
        <v>MLTC + 30%</v>
      </c>
      <c r="Y133" s="112">
        <f>'EU MDM-5000'!D125</f>
        <v>12</v>
      </c>
      <c r="Z133" s="112">
        <f>'EU MDM-5000'!F125</f>
        <v>12</v>
      </c>
      <c r="AA133" s="112">
        <f>'EU MDM-5000'!H125</f>
        <v>12</v>
      </c>
      <c r="AB133" s="112">
        <f>'EU MDM-5000'!J125</f>
        <v>10</v>
      </c>
      <c r="AC133" s="112">
        <f>'EU MDM-5000'!L125</f>
        <v>10</v>
      </c>
      <c r="AD133" s="112">
        <f>'EU MDM-5000'!N125</f>
        <v>10</v>
      </c>
      <c r="AE133"/>
      <c r="AF133"/>
      <c r="AG133"/>
      <c r="AH133"/>
      <c r="AI133"/>
      <c r="AJ133"/>
      <c r="AK133"/>
      <c r="AL133"/>
    </row>
    <row r="134" spans="1:38" x14ac:dyDescent="0.2">
      <c r="A134" s="1"/>
      <c r="B134" s="1"/>
      <c r="C134" s="1"/>
      <c r="D134" s="1"/>
      <c r="E134" s="1"/>
      <c r="F134" s="1"/>
      <c r="G134" s="1"/>
      <c r="H134" s="1"/>
      <c r="I134" s="1"/>
      <c r="J134" s="1"/>
      <c r="K134" s="1"/>
      <c r="L134" s="1"/>
      <c r="M134" s="1"/>
      <c r="N134" s="1"/>
      <c r="O134" s="1"/>
      <c r="P134" s="1"/>
      <c r="Q134" s="559"/>
      <c r="S134" s="111" t="str">
        <f>'EU MDM-5000'!B116</f>
        <v>Burst RMS</v>
      </c>
      <c r="T134" s="112">
        <f>'EU MDM-5000'!D116</f>
        <v>37.200000000000003</v>
      </c>
      <c r="U134" s="112">
        <f>'EU MDM-5000'!F116</f>
        <v>37.200000000000003</v>
      </c>
      <c r="V134" s="112">
        <f>'EU MDM-5000'!H116</f>
        <v>37.200000000000003</v>
      </c>
      <c r="W134" s="112"/>
      <c r="X134" s="111" t="str">
        <f>'EU MDM-5000'!B116</f>
        <v>Burst RMS</v>
      </c>
      <c r="Y134" s="112">
        <f>'EU MDM-5000'!D126</f>
        <v>18.399999999999999</v>
      </c>
      <c r="Z134" s="112">
        <f>'EU MDM-5000'!F126</f>
        <v>18.399999999999999</v>
      </c>
      <c r="AA134" s="112">
        <f>'EU MDM-5000'!H126</f>
        <v>18.399999999999999</v>
      </c>
      <c r="AB134" s="112">
        <f>'EU MDM-5000'!J126</f>
        <v>18.8</v>
      </c>
      <c r="AC134" s="112">
        <f>'EU MDM-5000'!L126</f>
        <v>18.8</v>
      </c>
      <c r="AD134" s="112">
        <f>'EU MDM-5000'!N126</f>
        <v>18.8</v>
      </c>
      <c r="AE134"/>
      <c r="AF134"/>
      <c r="AG134"/>
      <c r="AH134"/>
      <c r="AI134"/>
      <c r="AJ134"/>
      <c r="AK134"/>
      <c r="AL134"/>
    </row>
    <row r="135" spans="1:38" x14ac:dyDescent="0.2">
      <c r="A135" s="1"/>
      <c r="B135" s="1"/>
      <c r="C135" s="1"/>
      <c r="D135" s="1"/>
      <c r="E135" s="1"/>
      <c r="F135" s="1"/>
      <c r="G135" s="1"/>
      <c r="H135" s="1"/>
      <c r="I135" s="1"/>
      <c r="J135" s="1"/>
      <c r="K135" s="1"/>
      <c r="L135" s="1"/>
      <c r="M135" s="1"/>
      <c r="N135" s="1"/>
      <c r="O135" s="1"/>
      <c r="P135" s="1"/>
      <c r="Q135" s="559"/>
      <c r="S135" s="111" t="str">
        <f>'EU MDM-5000'!B117</f>
        <v>Max Inst Pk</v>
      </c>
      <c r="T135" s="112">
        <f>'EU MDM-5000'!D117</f>
        <v>87.199999999999989</v>
      </c>
      <c r="U135" s="112">
        <f>'EU MDM-5000'!F117</f>
        <v>87.199999999999989</v>
      </c>
      <c r="V135" s="112">
        <f>'EU MDM-5000'!H117</f>
        <v>87.199999999999989</v>
      </c>
      <c r="W135" s="112"/>
      <c r="X135" s="111" t="str">
        <f>'EU MDM-5000'!B117</f>
        <v>Max Inst Pk</v>
      </c>
      <c r="Y135" s="112">
        <f>'EU MDM-5000'!D127</f>
        <v>50.4</v>
      </c>
      <c r="Z135" s="112">
        <f>'EU MDM-5000'!F127</f>
        <v>50.4</v>
      </c>
      <c r="AA135" s="112">
        <f>'EU MDM-5000'!H127</f>
        <v>50.4</v>
      </c>
      <c r="AB135" s="112">
        <f>'EU MDM-5000'!J127</f>
        <v>36.799999999999997</v>
      </c>
      <c r="AC135" s="112">
        <f>'EU MDM-5000'!L127</f>
        <v>36.799999999999997</v>
      </c>
      <c r="AD135" s="112">
        <f>'EU MDM-5000'!N127</f>
        <v>36.799999999999997</v>
      </c>
      <c r="AE135"/>
      <c r="AF135"/>
      <c r="AG135"/>
      <c r="AH135"/>
      <c r="AI135"/>
      <c r="AJ135"/>
      <c r="AK135"/>
      <c r="AL135"/>
    </row>
    <row r="136" spans="1:38" x14ac:dyDescent="0.2">
      <c r="A136" s="1"/>
      <c r="B136" s="1"/>
      <c r="C136" s="1"/>
      <c r="D136" s="1"/>
      <c r="E136" s="1"/>
      <c r="F136" s="1"/>
      <c r="G136" s="1"/>
      <c r="H136" s="1"/>
      <c r="I136" s="1"/>
      <c r="J136" s="1"/>
      <c r="K136" s="1"/>
      <c r="L136" s="1"/>
      <c r="M136" s="1"/>
      <c r="N136" s="1"/>
      <c r="O136" s="1"/>
      <c r="P136" s="1"/>
      <c r="Q136" s="559"/>
      <c r="S136" s="111"/>
      <c r="T136" s="112"/>
      <c r="U136" s="112"/>
      <c r="V136" s="112"/>
      <c r="W136" s="112"/>
      <c r="X136" s="111"/>
      <c r="Y136" s="112"/>
      <c r="Z136" s="112"/>
      <c r="AA136" s="112"/>
      <c r="AB136" s="112"/>
      <c r="AC136" s="112"/>
      <c r="AD136" s="112"/>
      <c r="AE136"/>
      <c r="AF136"/>
      <c r="AG136"/>
      <c r="AH136"/>
      <c r="AI136"/>
      <c r="AJ136"/>
      <c r="AK136"/>
      <c r="AL136"/>
    </row>
    <row r="137" spans="1:38" x14ac:dyDescent="0.2">
      <c r="A137" s="1"/>
      <c r="B137" s="1"/>
      <c r="C137" s="1"/>
      <c r="D137" s="1"/>
      <c r="E137" s="1"/>
      <c r="F137" s="1"/>
      <c r="G137" s="1"/>
      <c r="H137" s="1"/>
      <c r="I137" s="1"/>
      <c r="J137" s="1"/>
      <c r="K137" s="1"/>
      <c r="L137" s="1"/>
      <c r="M137" s="1"/>
      <c r="N137" s="1"/>
      <c r="O137" s="1"/>
      <c r="P137" s="1"/>
      <c r="Q137" s="559"/>
      <c r="S137" s="111"/>
      <c r="T137" s="112"/>
      <c r="U137" s="112"/>
      <c r="V137" s="112"/>
      <c r="W137" s="112"/>
      <c r="X137" s="111"/>
      <c r="Y137" s="112"/>
      <c r="Z137" s="112"/>
      <c r="AA137" s="112"/>
      <c r="AB137" s="112"/>
      <c r="AC137" s="112"/>
      <c r="AD137" s="112"/>
      <c r="AE137"/>
      <c r="AF137"/>
      <c r="AG137"/>
      <c r="AH137"/>
      <c r="AI137"/>
      <c r="AJ137"/>
      <c r="AK137"/>
      <c r="AL137"/>
    </row>
    <row r="138" spans="1:38" x14ac:dyDescent="0.2">
      <c r="A138" s="1"/>
      <c r="B138" s="1"/>
      <c r="C138" s="1"/>
      <c r="D138" s="1"/>
      <c r="E138" s="1"/>
      <c r="F138" s="1"/>
      <c r="G138" s="1"/>
      <c r="H138" s="1"/>
      <c r="I138" s="1"/>
      <c r="J138" s="1"/>
      <c r="K138" s="1"/>
      <c r="L138" s="1"/>
      <c r="M138" s="1"/>
      <c r="N138" s="1"/>
      <c r="O138" s="1"/>
      <c r="P138" s="1"/>
      <c r="Q138" s="559"/>
      <c r="S138" s="111" t="s">
        <v>228</v>
      </c>
      <c r="T138" s="112">
        <f>(100*T133)/T131</f>
        <v>89.375</v>
      </c>
      <c r="U138" s="112">
        <f>(100*U133)/U131</f>
        <v>89.375</v>
      </c>
      <c r="V138" s="112">
        <f>(100*V133)/V131</f>
        <v>89.375</v>
      </c>
      <c r="W138" s="112"/>
      <c r="X138" s="111" t="s">
        <v>228</v>
      </c>
      <c r="Y138" s="112">
        <f t="shared" ref="Y138:AD138" si="23">(100*Y133)/Y131</f>
        <v>75</v>
      </c>
      <c r="Z138" s="112">
        <f t="shared" si="23"/>
        <v>75</v>
      </c>
      <c r="AA138" s="112">
        <f t="shared" si="23"/>
        <v>75</v>
      </c>
      <c r="AB138" s="112">
        <f t="shared" si="23"/>
        <v>62.5</v>
      </c>
      <c r="AC138" s="112">
        <f t="shared" si="23"/>
        <v>62.5</v>
      </c>
      <c r="AD138" s="112">
        <f t="shared" si="23"/>
        <v>62.5</v>
      </c>
      <c r="AE138"/>
      <c r="AF138"/>
      <c r="AG138"/>
      <c r="AH138"/>
      <c r="AI138"/>
      <c r="AJ138"/>
      <c r="AK138"/>
      <c r="AL138"/>
    </row>
    <row r="139" spans="1:38" x14ac:dyDescent="0.2">
      <c r="A139" s="1"/>
      <c r="B139" s="1"/>
      <c r="C139" s="1"/>
      <c r="D139" s="1"/>
      <c r="E139" s="1"/>
      <c r="F139" s="1"/>
      <c r="G139" s="1"/>
      <c r="H139" s="1"/>
      <c r="I139" s="1"/>
      <c r="J139" s="1"/>
      <c r="K139" s="1"/>
      <c r="L139" s="1"/>
      <c r="M139" s="1"/>
      <c r="N139" s="1"/>
      <c r="O139" s="1"/>
      <c r="P139" s="1"/>
      <c r="Q139" s="559"/>
      <c r="S139" s="111" t="s">
        <v>229</v>
      </c>
      <c r="T139" s="112">
        <f>T138-100</f>
        <v>-10.625</v>
      </c>
      <c r="U139" s="112">
        <f>U138-100</f>
        <v>-10.625</v>
      </c>
      <c r="V139" s="112">
        <f>V138-100</f>
        <v>-10.625</v>
      </c>
      <c r="W139" s="112"/>
      <c r="X139" s="111" t="s">
        <v>229</v>
      </c>
      <c r="Y139" s="112">
        <f t="shared" ref="Y139:AD139" si="24">Y138-100</f>
        <v>-25</v>
      </c>
      <c r="Z139" s="112">
        <f t="shared" si="24"/>
        <v>-25</v>
      </c>
      <c r="AA139" s="112">
        <f t="shared" si="24"/>
        <v>-25</v>
      </c>
      <c r="AB139" s="112">
        <f t="shared" si="24"/>
        <v>-37.5</v>
      </c>
      <c r="AC139" s="112">
        <f t="shared" si="24"/>
        <v>-37.5</v>
      </c>
      <c r="AD139" s="112">
        <f t="shared" si="24"/>
        <v>-37.5</v>
      </c>
      <c r="AE139"/>
      <c r="AF139"/>
      <c r="AG139"/>
      <c r="AH139"/>
      <c r="AI139"/>
      <c r="AJ139"/>
      <c r="AK139"/>
      <c r="AL139"/>
    </row>
    <row r="140" spans="1:38" x14ac:dyDescent="0.2">
      <c r="A140" s="1"/>
      <c r="B140" s="1"/>
      <c r="C140" s="1"/>
      <c r="D140" s="1"/>
      <c r="E140" s="1"/>
      <c r="F140" s="1"/>
      <c r="G140" s="1"/>
      <c r="H140" s="1"/>
      <c r="I140" s="1"/>
      <c r="J140" s="1"/>
      <c r="K140" s="1"/>
      <c r="L140" s="1"/>
      <c r="M140" s="1"/>
      <c r="N140" s="1"/>
      <c r="O140" s="1"/>
      <c r="P140" s="1"/>
      <c r="Q140" s="559"/>
      <c r="S140" s="111" t="s">
        <v>230</v>
      </c>
      <c r="T140" s="112">
        <f>IF(T139&lt;0,T138,100)</f>
        <v>89.375</v>
      </c>
      <c r="U140" s="112">
        <f>IF(U139&lt;0,U138,100)</f>
        <v>89.375</v>
      </c>
      <c r="V140" s="112">
        <f>IF(V139&lt;0,V138,100)</f>
        <v>89.375</v>
      </c>
      <c r="W140" s="112"/>
      <c r="X140" s="111" t="s">
        <v>230</v>
      </c>
      <c r="Y140" s="112">
        <f t="shared" ref="Y140:AD140" si="25">IF(Y139&lt;0,Y138,100)</f>
        <v>75</v>
      </c>
      <c r="Z140" s="112">
        <f t="shared" si="25"/>
        <v>75</v>
      </c>
      <c r="AA140" s="112">
        <f t="shared" si="25"/>
        <v>75</v>
      </c>
      <c r="AB140" s="112">
        <f t="shared" si="25"/>
        <v>62.5</v>
      </c>
      <c r="AC140" s="112">
        <f t="shared" si="25"/>
        <v>62.5</v>
      </c>
      <c r="AD140" s="112">
        <f t="shared" si="25"/>
        <v>62.5</v>
      </c>
      <c r="AE140"/>
      <c r="AF140"/>
      <c r="AG140"/>
      <c r="AH140"/>
      <c r="AI140"/>
      <c r="AJ140"/>
      <c r="AK140"/>
      <c r="AL140"/>
    </row>
    <row r="141" spans="1:38" x14ac:dyDescent="0.2">
      <c r="A141" s="1"/>
      <c r="B141" s="1"/>
      <c r="C141" s="1"/>
      <c r="D141" s="1"/>
      <c r="E141" s="1"/>
      <c r="F141" s="1"/>
      <c r="G141" s="1"/>
      <c r="H141" s="1"/>
      <c r="I141" s="1"/>
      <c r="J141" s="1"/>
      <c r="K141" s="1"/>
      <c r="L141" s="1"/>
      <c r="M141" s="1"/>
      <c r="N141" s="1"/>
      <c r="O141" s="1"/>
      <c r="P141" s="1"/>
      <c r="Q141" s="559"/>
      <c r="S141" s="111" t="s">
        <v>231</v>
      </c>
      <c r="T141" s="112" t="e">
        <f>IF(T138&gt;100,T138-T140,NA())</f>
        <v>#N/A</v>
      </c>
      <c r="U141" s="112" t="e">
        <f>IF(U138&gt;100,U138-U140,NA())</f>
        <v>#N/A</v>
      </c>
      <c r="V141" s="112" t="e">
        <f>IF(V138&gt;100,V138-V140,NA())</f>
        <v>#N/A</v>
      </c>
      <c r="W141" s="112"/>
      <c r="X141" s="111" t="s">
        <v>231</v>
      </c>
      <c r="Y141" s="112" t="e">
        <f t="shared" ref="Y141:AD141" si="26">IF(Y138&gt;100,Y138-Y140,NA())</f>
        <v>#N/A</v>
      </c>
      <c r="Z141" s="112" t="e">
        <f t="shared" si="26"/>
        <v>#N/A</v>
      </c>
      <c r="AA141" s="112" t="e">
        <f t="shared" si="26"/>
        <v>#N/A</v>
      </c>
      <c r="AB141" s="112" t="e">
        <f t="shared" si="26"/>
        <v>#N/A</v>
      </c>
      <c r="AC141" s="112" t="e">
        <f t="shared" si="26"/>
        <v>#N/A</v>
      </c>
      <c r="AD141" s="112" t="e">
        <f t="shared" si="26"/>
        <v>#N/A</v>
      </c>
      <c r="AE141"/>
      <c r="AF141"/>
      <c r="AG141"/>
      <c r="AH141"/>
      <c r="AI141"/>
      <c r="AJ141"/>
      <c r="AK141"/>
      <c r="AL141"/>
    </row>
    <row r="142" spans="1:38" x14ac:dyDescent="0.2">
      <c r="A142" s="1"/>
      <c r="B142" s="1"/>
      <c r="C142" s="1"/>
      <c r="D142" s="1"/>
      <c r="E142" s="1"/>
      <c r="F142" s="1"/>
      <c r="G142" s="1"/>
      <c r="H142" s="1"/>
      <c r="I142" s="1"/>
      <c r="J142" s="1"/>
      <c r="K142" s="1"/>
      <c r="L142" s="1"/>
      <c r="M142" s="1"/>
      <c r="N142" s="1"/>
      <c r="O142" s="1"/>
      <c r="P142" s="1"/>
      <c r="Q142" s="559"/>
      <c r="S142" s="111"/>
      <c r="T142" s="112"/>
      <c r="U142" s="112"/>
      <c r="V142" s="112"/>
      <c r="W142" s="112"/>
      <c r="X142" s="111" t="s">
        <v>232</v>
      </c>
      <c r="Y142" s="112">
        <f>Data!$AC$13</f>
        <v>10</v>
      </c>
      <c r="Z142" s="112">
        <f>Data!$AC$13</f>
        <v>10</v>
      </c>
      <c r="AA142" s="112">
        <f>Data!$AC$13</f>
        <v>10</v>
      </c>
      <c r="AB142" s="112">
        <f>Data!$AC$13</f>
        <v>10</v>
      </c>
      <c r="AC142" s="112">
        <f>Data!$AC$13</f>
        <v>10</v>
      </c>
      <c r="AD142" s="112">
        <f>Data!$AC$13</f>
        <v>10</v>
      </c>
      <c r="AE142"/>
      <c r="AF142"/>
      <c r="AG142"/>
      <c r="AH142"/>
      <c r="AI142"/>
      <c r="AJ142"/>
      <c r="AK142"/>
      <c r="AL142"/>
    </row>
    <row r="143" spans="1:38" x14ac:dyDescent="0.2">
      <c r="A143" s="1"/>
      <c r="B143" s="1"/>
      <c r="C143" s="1"/>
      <c r="D143" s="1"/>
      <c r="E143" s="1"/>
      <c r="F143" s="1"/>
      <c r="G143" s="1"/>
      <c r="H143" s="1"/>
      <c r="I143" s="1"/>
      <c r="J143" s="1"/>
      <c r="K143" s="1"/>
      <c r="L143" s="1"/>
      <c r="M143" s="1"/>
      <c r="N143" s="1"/>
      <c r="O143" s="1"/>
      <c r="P143" s="1"/>
      <c r="Q143" s="559"/>
      <c r="S143" s="111"/>
      <c r="T143" s="112"/>
      <c r="U143" s="112"/>
      <c r="V143" s="112"/>
      <c r="W143" s="112"/>
      <c r="X143" s="111" t="s">
        <v>233</v>
      </c>
      <c r="Y143" s="113">
        <f>-'EU MDM-5000'!D133</f>
        <v>-6.3219035490848761</v>
      </c>
      <c r="Z143" s="113">
        <f>-'EU MDM-5000'!F133</f>
        <v>-6.3219035490848761</v>
      </c>
      <c r="AA143" s="113">
        <f>-'EU MDM-5000'!H133</f>
        <v>-6.3219035490848761</v>
      </c>
      <c r="AB143" s="113">
        <f>-'EU MDM-5000'!J133</f>
        <v>-4.6159930675857819</v>
      </c>
      <c r="AC143" s="113">
        <f>-'EU MDM-5000'!L133</f>
        <v>-4.6159930675857819</v>
      </c>
      <c r="AD143" s="113">
        <f>-'EU MDM-5000'!N133</f>
        <v>-4.6159930675857819</v>
      </c>
      <c r="AE143"/>
      <c r="AF143"/>
      <c r="AG143"/>
      <c r="AH143"/>
      <c r="AI143"/>
      <c r="AJ143"/>
      <c r="AK143"/>
      <c r="AL143"/>
    </row>
    <row r="144" spans="1:38" x14ac:dyDescent="0.2">
      <c r="A144" s="1"/>
      <c r="B144" s="1"/>
      <c r="C144" s="1"/>
      <c r="D144" s="1"/>
      <c r="E144" s="1"/>
      <c r="F144" s="1"/>
      <c r="G144" s="1"/>
      <c r="H144" s="1"/>
      <c r="I144" s="1"/>
      <c r="J144" s="1"/>
      <c r="K144" s="1"/>
      <c r="L144" s="1"/>
      <c r="M144" s="1"/>
      <c r="N144" s="1"/>
      <c r="O144" s="1"/>
      <c r="P144" s="1"/>
      <c r="Q144" s="559"/>
      <c r="S144" s="111"/>
      <c r="T144" s="112"/>
      <c r="U144" s="112"/>
      <c r="V144" s="112"/>
      <c r="W144" s="112"/>
      <c r="X144" s="111" t="s">
        <v>234</v>
      </c>
      <c r="Y144" s="112">
        <f t="shared" ref="Y144:AD144" si="27">IF(Y143&gt;-Y142,Y143,-Y142)</f>
        <v>-6.3219035490848761</v>
      </c>
      <c r="Z144" s="112">
        <f t="shared" si="27"/>
        <v>-6.3219035490848761</v>
      </c>
      <c r="AA144" s="112">
        <f t="shared" si="27"/>
        <v>-6.3219035490848761</v>
      </c>
      <c r="AB144" s="112">
        <f t="shared" si="27"/>
        <v>-4.6159930675857819</v>
      </c>
      <c r="AC144" s="112">
        <f t="shared" si="27"/>
        <v>-4.6159930675857819</v>
      </c>
      <c r="AD144" s="112">
        <f t="shared" si="27"/>
        <v>-4.6159930675857819</v>
      </c>
      <c r="AE144"/>
      <c r="AF144"/>
      <c r="AG144"/>
      <c r="AH144"/>
      <c r="AI144"/>
      <c r="AJ144"/>
      <c r="AK144"/>
      <c r="AL144"/>
    </row>
    <row r="145" spans="1:38" x14ac:dyDescent="0.2">
      <c r="A145" s="1"/>
      <c r="B145" s="1"/>
      <c r="C145" s="1"/>
      <c r="D145" s="1"/>
      <c r="E145" s="1"/>
      <c r="F145" s="1"/>
      <c r="G145" s="1"/>
      <c r="H145" s="1"/>
      <c r="I145" s="1"/>
      <c r="J145" s="1"/>
      <c r="K145" s="1"/>
      <c r="L145" s="1"/>
      <c r="M145" s="1"/>
      <c r="N145" s="1"/>
      <c r="O145" s="1"/>
      <c r="P145" s="1"/>
      <c r="Q145" s="559"/>
      <c r="S145" s="111"/>
      <c r="T145" s="112"/>
      <c r="U145" s="112"/>
      <c r="V145" s="112"/>
      <c r="W145" s="112"/>
      <c r="X145" s="111" t="s">
        <v>235</v>
      </c>
      <c r="Y145" s="112" t="e">
        <f t="shared" ref="Y145:AD145" si="28">IF(Y143&gt;-Y142,NA(),Y143+Y142)</f>
        <v>#N/A</v>
      </c>
      <c r="Z145" s="112" t="e">
        <f t="shared" si="28"/>
        <v>#N/A</v>
      </c>
      <c r="AA145" s="112" t="e">
        <f t="shared" si="28"/>
        <v>#N/A</v>
      </c>
      <c r="AB145" s="112" t="e">
        <f t="shared" si="28"/>
        <v>#N/A</v>
      </c>
      <c r="AC145" s="112" t="e">
        <f t="shared" si="28"/>
        <v>#N/A</v>
      </c>
      <c r="AD145" s="112" t="e">
        <f t="shared" si="28"/>
        <v>#N/A</v>
      </c>
      <c r="AE145"/>
      <c r="AF145"/>
      <c r="AG145"/>
      <c r="AH145"/>
      <c r="AI145"/>
      <c r="AJ145"/>
      <c r="AK145"/>
      <c r="AL145"/>
    </row>
    <row r="146" spans="1:38" x14ac:dyDescent="0.2">
      <c r="A146" s="1"/>
      <c r="B146" s="1"/>
      <c r="C146" s="1"/>
      <c r="D146" s="1"/>
      <c r="E146" s="1"/>
      <c r="F146" s="1"/>
      <c r="G146" s="1"/>
      <c r="H146" s="1"/>
      <c r="I146" s="1"/>
      <c r="J146" s="1"/>
      <c r="K146" s="1"/>
      <c r="L146" s="1"/>
      <c r="M146" s="1"/>
      <c r="N146" s="1"/>
      <c r="O146" s="1"/>
      <c r="P146" s="1"/>
      <c r="Q146" s="559"/>
      <c r="S146" s="111"/>
      <c r="T146" s="112"/>
      <c r="U146" s="112"/>
      <c r="V146" s="112"/>
      <c r="W146" s="112"/>
      <c r="X146" s="111"/>
      <c r="Y146" s="112"/>
      <c r="Z146" s="112"/>
      <c r="AA146" s="112"/>
      <c r="AB146" s="112"/>
      <c r="AC146" s="112"/>
      <c r="AD146" s="112"/>
      <c r="AE146"/>
      <c r="AF146"/>
      <c r="AG146"/>
      <c r="AH146"/>
      <c r="AI146"/>
      <c r="AJ146"/>
      <c r="AK146"/>
      <c r="AL146"/>
    </row>
    <row r="147" spans="1:38" x14ac:dyDescent="0.2">
      <c r="A147" s="1"/>
      <c r="B147" s="1"/>
      <c r="C147" s="1"/>
      <c r="D147" s="1"/>
      <c r="E147" s="1"/>
      <c r="F147" s="1"/>
      <c r="G147" s="1"/>
      <c r="H147" s="1"/>
      <c r="I147" s="1"/>
      <c r="J147" s="1"/>
      <c r="K147" s="1"/>
      <c r="L147" s="1"/>
      <c r="M147" s="1"/>
      <c r="N147" s="1"/>
      <c r="O147" s="1"/>
      <c r="P147" s="1"/>
      <c r="AE147"/>
      <c r="AF147"/>
      <c r="AG147"/>
      <c r="AH147"/>
      <c r="AI147"/>
      <c r="AJ147"/>
      <c r="AK147"/>
      <c r="AL147"/>
    </row>
    <row r="148" spans="1:38" ht="17" thickBot="1" x14ac:dyDescent="0.25">
      <c r="A148" s="1"/>
      <c r="B148" s="71" t="str">
        <f>Data!$T$1</f>
        <v>Meyer Sound Laboratories, Inc. Berkeley, California, USA                                 www.meyersound.com</v>
      </c>
      <c r="C148" s="1"/>
      <c r="D148" s="1"/>
      <c r="E148" s="1"/>
      <c r="F148" s="1"/>
      <c r="G148" s="1"/>
      <c r="H148" s="1"/>
      <c r="I148" s="1"/>
      <c r="J148" s="1"/>
      <c r="K148" s="1"/>
      <c r="L148" s="1"/>
      <c r="M148" s="1"/>
      <c r="N148" s="1"/>
      <c r="O148" s="1"/>
      <c r="P148" s="126" t="str">
        <f>Data!$G$1</f>
        <v>© 2021</v>
      </c>
      <c r="AE148"/>
      <c r="AF148"/>
      <c r="AG148"/>
      <c r="AH148"/>
      <c r="AI148"/>
      <c r="AJ148"/>
      <c r="AK148"/>
      <c r="AL148"/>
    </row>
    <row r="149" spans="1:38" x14ac:dyDescent="0.2">
      <c r="A149" s="133"/>
      <c r="B149" s="133"/>
      <c r="C149" s="133"/>
      <c r="D149" s="133"/>
      <c r="E149" s="133"/>
      <c r="F149" s="133"/>
      <c r="G149" s="133"/>
      <c r="H149" s="133"/>
      <c r="I149" s="133"/>
      <c r="J149" s="133"/>
      <c r="K149" s="133"/>
      <c r="L149" s="133"/>
      <c r="M149" s="133"/>
      <c r="N149" s="133"/>
      <c r="O149" s="163" t="str">
        <f>Data!$M$1</f>
        <v>06.257.005.01 C</v>
      </c>
      <c r="P149" s="133"/>
      <c r="T149"/>
      <c r="U149"/>
      <c r="V149"/>
      <c r="W149"/>
      <c r="X149"/>
      <c r="Y149"/>
      <c r="Z149"/>
      <c r="AA149"/>
      <c r="AB149"/>
      <c r="AC149"/>
      <c r="AD149"/>
      <c r="AE149"/>
      <c r="AF149"/>
      <c r="AG149"/>
      <c r="AH149"/>
      <c r="AI149"/>
      <c r="AJ149"/>
      <c r="AK149"/>
      <c r="AL149"/>
    </row>
    <row r="150" spans="1:38" x14ac:dyDescent="0.2">
      <c r="A150" s="1"/>
      <c r="B150" s="10" t="s">
        <v>192</v>
      </c>
      <c r="C150" s="1"/>
      <c r="D150" s="11" t="s">
        <v>166</v>
      </c>
      <c r="E150" s="138">
        <f>'Master EU'!$D$4</f>
        <v>230</v>
      </c>
      <c r="F150" s="11" t="s">
        <v>167</v>
      </c>
      <c r="G150" s="138">
        <f>'Master EU'!$G$4</f>
        <v>230</v>
      </c>
      <c r="H150" s="11" t="s">
        <v>168</v>
      </c>
      <c r="I150" s="332">
        <f>'Master EU'!$J$4</f>
        <v>230</v>
      </c>
      <c r="J150" s="570" t="s">
        <v>193</v>
      </c>
      <c r="K150" s="570"/>
      <c r="L150" s="335" t="s">
        <v>194</v>
      </c>
      <c r="M150" s="27"/>
      <c r="N150" s="31">
        <v>2.5</v>
      </c>
      <c r="O150" s="30" t="s">
        <v>107</v>
      </c>
      <c r="P150" s="1"/>
      <c r="T150"/>
      <c r="U150"/>
      <c r="V150"/>
      <c r="W150"/>
      <c r="X150"/>
      <c r="Y150"/>
      <c r="Z150"/>
      <c r="AA150"/>
      <c r="AB150"/>
      <c r="AC150"/>
      <c r="AD150"/>
      <c r="AE150"/>
      <c r="AF150"/>
      <c r="AG150"/>
      <c r="AH150"/>
      <c r="AI150"/>
      <c r="AJ150"/>
      <c r="AK150"/>
      <c r="AL150"/>
    </row>
    <row r="151" spans="1:38" ht="5" customHeight="1" x14ac:dyDescent="0.25">
      <c r="A151" s="1"/>
      <c r="B151" s="2"/>
      <c r="C151" s="1"/>
      <c r="D151" s="5"/>
      <c r="E151" s="40">
        <v>230</v>
      </c>
      <c r="F151" s="5"/>
      <c r="G151" s="40"/>
      <c r="H151" s="5"/>
      <c r="I151" s="8"/>
      <c r="J151" s="400">
        <f>(((D153)*E150)/1000)+(((F153)*G150)/1000)+(((H153)*I150)/1000)</f>
        <v>25.667999999999999</v>
      </c>
      <c r="K151" s="400" t="s">
        <v>196</v>
      </c>
      <c r="L151" s="1"/>
      <c r="M151" s="1"/>
      <c r="N151" s="1"/>
      <c r="O151" s="1"/>
      <c r="P151" s="1"/>
      <c r="T151"/>
      <c r="U151"/>
      <c r="V151"/>
      <c r="W151"/>
      <c r="X151"/>
      <c r="Y151"/>
      <c r="Z151"/>
      <c r="AA151"/>
      <c r="AB151"/>
      <c r="AC151"/>
      <c r="AD151"/>
      <c r="AE151"/>
      <c r="AF151"/>
      <c r="AG151"/>
      <c r="AH151"/>
      <c r="AI151"/>
      <c r="AJ151"/>
      <c r="AK151"/>
      <c r="AL151"/>
    </row>
    <row r="152" spans="1:38" ht="16" customHeight="1" x14ac:dyDescent="0.2">
      <c r="A152" s="1"/>
      <c r="B152" s="23" t="str">
        <f>_xlfn.TEXTJOIN("",FALSE,"MLTC + ",'Master EU'!D11,"%")</f>
        <v>MLTC + 30%</v>
      </c>
      <c r="C152" s="1"/>
      <c r="D152" s="25">
        <f>(D162+J162)*(1+('Master EU'!D11/100))</f>
        <v>28.6</v>
      </c>
      <c r="E152" s="41" t="str">
        <f>IF(D152&gt;Data!$AC$6,"&lt;OVER!","A RMS")</f>
        <v>A RMS</v>
      </c>
      <c r="F152" s="25">
        <f>(F162+L162)*(1+('Master EU'!D11/100))</f>
        <v>28.6</v>
      </c>
      <c r="G152" s="41" t="str">
        <f>IF(F152&gt;Data!$AC$6,"&lt;OVER!","A RMS")</f>
        <v>A RMS</v>
      </c>
      <c r="H152" s="25">
        <f>(H162+N162)*(1+('Master EU'!D11/100))</f>
        <v>28.6</v>
      </c>
      <c r="I152" s="333" t="str">
        <f>IF(H152&gt;Data!$AC$6,"&lt;OVER!","A RMS")</f>
        <v>A RMS</v>
      </c>
      <c r="J152" s="550" t="s">
        <v>197</v>
      </c>
      <c r="K152" s="551"/>
      <c r="L152" s="552"/>
      <c r="M152" s="562" t="str">
        <f>IF('EU MDM-5000'!S158&gt;0,"N O !","O K")</f>
        <v>O K</v>
      </c>
      <c r="N152" s="563"/>
      <c r="O152" s="568">
        <v>5</v>
      </c>
      <c r="P152" s="569"/>
      <c r="R152" s="109" t="s">
        <v>198</v>
      </c>
      <c r="T152"/>
      <c r="U152"/>
      <c r="V152"/>
      <c r="W152"/>
      <c r="X152"/>
      <c r="Y152"/>
      <c r="Z152"/>
      <c r="AA152"/>
      <c r="AB152"/>
      <c r="AC152"/>
      <c r="AD152"/>
      <c r="AE152"/>
      <c r="AF152"/>
      <c r="AG152"/>
      <c r="AH152"/>
      <c r="AI152"/>
      <c r="AJ152"/>
      <c r="AK152"/>
      <c r="AL152"/>
    </row>
    <row r="153" spans="1:38" ht="15" customHeight="1" x14ac:dyDescent="0.2">
      <c r="A153" s="1"/>
      <c r="B153" s="23" t="s">
        <v>199</v>
      </c>
      <c r="C153" s="1"/>
      <c r="D153" s="25">
        <f>D163+J163</f>
        <v>37.200000000000003</v>
      </c>
      <c r="E153" s="41" t="s">
        <v>116</v>
      </c>
      <c r="F153" s="25">
        <f>F163+L163</f>
        <v>37.200000000000003</v>
      </c>
      <c r="G153" s="41" t="s">
        <v>116</v>
      </c>
      <c r="H153" s="25">
        <f>H163+N163</f>
        <v>37.200000000000003</v>
      </c>
      <c r="I153" s="333" t="s">
        <v>116</v>
      </c>
      <c r="J153" s="551"/>
      <c r="K153" s="551"/>
      <c r="L153" s="552"/>
      <c r="M153" s="564"/>
      <c r="N153" s="565"/>
      <c r="O153" s="568"/>
      <c r="P153" s="569"/>
      <c r="R153" s="109" t="s">
        <v>162</v>
      </c>
      <c r="S153" s="109">
        <f>IF(OR('EU MDM-5000'!D152&gt;Data!$AC$6,'EU MDM-5000'!F152&gt;Data!$AC$6,'EU MDM-5000'!H152&gt;Data!$AC$6),1,0)</f>
        <v>0</v>
      </c>
      <c r="T153"/>
      <c r="U153"/>
      <c r="V153"/>
      <c r="W153"/>
      <c r="X153"/>
      <c r="Y153"/>
      <c r="Z153"/>
      <c r="AA153"/>
      <c r="AB153"/>
      <c r="AC153"/>
      <c r="AD153"/>
      <c r="AE153"/>
      <c r="AF153"/>
      <c r="AG153"/>
      <c r="AH153"/>
      <c r="AI153"/>
      <c r="AJ153"/>
      <c r="AK153"/>
      <c r="AL153"/>
    </row>
    <row r="154" spans="1:38" ht="15" customHeight="1" x14ac:dyDescent="0.2">
      <c r="A154" s="1"/>
      <c r="B154" s="24" t="s">
        <v>200</v>
      </c>
      <c r="C154" s="1"/>
      <c r="D154" s="26">
        <f>D164+J164</f>
        <v>87.199999999999989</v>
      </c>
      <c r="E154" s="42" t="s">
        <v>117</v>
      </c>
      <c r="F154" s="26">
        <f>F164+L164</f>
        <v>87.199999999999989</v>
      </c>
      <c r="G154" s="42" t="s">
        <v>117</v>
      </c>
      <c r="H154" s="26">
        <f>H164+N164</f>
        <v>87.199999999999989</v>
      </c>
      <c r="I154" s="334" t="s">
        <v>117</v>
      </c>
      <c r="J154" s="551"/>
      <c r="K154" s="551"/>
      <c r="L154" s="552"/>
      <c r="M154" s="566"/>
      <c r="N154" s="567"/>
      <c r="O154" s="568"/>
      <c r="P154" s="569"/>
      <c r="R154" s="109" t="s">
        <v>201</v>
      </c>
      <c r="S154" s="109">
        <f>IF(OR('EU MDM-5000'!D162&gt;Data!$AC$7,'EU MDM-5000'!F162&gt;Data!$AC$7,'EU MDM-5000'!H162&gt;Data!$AC$7,'EU MDM-5000'!J162&gt;Data!$AC$7,'EU MDM-5000'!L162&gt;Data!$AC$7,'EU MDM-5000'!N162&gt;Data!$AC$7),1,0)</f>
        <v>0</v>
      </c>
      <c r="T154"/>
      <c r="U154"/>
      <c r="V154"/>
      <c r="W154"/>
      <c r="X154"/>
      <c r="Y154"/>
      <c r="Z154"/>
      <c r="AA154"/>
      <c r="AB154"/>
      <c r="AC154"/>
      <c r="AD154"/>
      <c r="AE154"/>
      <c r="AF154"/>
      <c r="AG154"/>
      <c r="AH154"/>
      <c r="AI154"/>
      <c r="AJ154"/>
      <c r="AK154"/>
      <c r="AL154"/>
    </row>
    <row r="155" spans="1:38" ht="8" customHeight="1" thickBot="1" x14ac:dyDescent="0.25">
      <c r="A155" s="1"/>
      <c r="B155" s="1"/>
      <c r="C155" s="1"/>
      <c r="D155" s="1"/>
      <c r="E155" s="1"/>
      <c r="F155" s="1"/>
      <c r="G155" s="1"/>
      <c r="H155" s="1"/>
      <c r="I155" s="1"/>
      <c r="J155" s="1"/>
      <c r="K155" s="1"/>
      <c r="L155" s="1"/>
      <c r="M155" s="1"/>
      <c r="N155" s="1"/>
      <c r="O155" s="1"/>
      <c r="P155" s="1"/>
      <c r="R155" s="109" t="s">
        <v>202</v>
      </c>
      <c r="S155" s="109">
        <f>IF(OR('EU MDM-5000'!D164&gt;Data!$AC$8,'EU MDM-5000'!F164&gt;Data!$AC$8,'EU MDM-5000'!H164&gt;Data!$AC$8,'EU MDM-5000'!J164&gt;Data!$AC$8,'EU MDM-5000'!L164&gt;Data!$AC$8,'EU MDM-5000'!N164&gt;Data!$AC$8),1,0)</f>
        <v>0</v>
      </c>
      <c r="T155"/>
      <c r="U155"/>
      <c r="V155"/>
      <c r="W155"/>
      <c r="X155"/>
      <c r="Y155"/>
      <c r="Z155"/>
      <c r="AA155"/>
      <c r="AB155"/>
      <c r="AC155"/>
      <c r="AD155"/>
      <c r="AE155"/>
      <c r="AF155"/>
      <c r="AG155"/>
      <c r="AH155"/>
      <c r="AI155"/>
      <c r="AJ155"/>
      <c r="AK155"/>
      <c r="AL155"/>
    </row>
    <row r="156" spans="1:38" x14ac:dyDescent="0.2">
      <c r="A156" s="1"/>
      <c r="B156" s="10" t="s">
        <v>203</v>
      </c>
      <c r="C156" s="1"/>
      <c r="D156" s="560">
        <v>1</v>
      </c>
      <c r="E156" s="561"/>
      <c r="F156" s="553">
        <v>2</v>
      </c>
      <c r="G156" s="561"/>
      <c r="H156" s="553">
        <v>3</v>
      </c>
      <c r="I156" s="561"/>
      <c r="J156" s="553">
        <v>4</v>
      </c>
      <c r="K156" s="561"/>
      <c r="L156" s="553">
        <v>5</v>
      </c>
      <c r="M156" s="561"/>
      <c r="N156" s="553">
        <v>6</v>
      </c>
      <c r="O156" s="554"/>
      <c r="P156" s="1"/>
      <c r="R156" s="109" t="s">
        <v>204</v>
      </c>
      <c r="S156" s="109">
        <f>IF(OR('EU MDM-5000'!D170&gt;Data!$AC$13,'EU MDM-5000'!F170&gt;Data!$AC$13,'EU MDM-5000'!H170&gt;Data!$AC$13,'EU MDM-5000'!J170&gt;Data!$AC$13,'EU MDM-5000'!L170&gt;Data!$AC$13,'EU MDM-5000'!N170&gt;Data!$AC$13),1,0)</f>
        <v>0</v>
      </c>
      <c r="T156"/>
      <c r="U156"/>
      <c r="V156"/>
      <c r="W156"/>
      <c r="X156"/>
      <c r="Y156"/>
      <c r="Z156"/>
      <c r="AA156"/>
      <c r="AB156"/>
      <c r="AC156"/>
      <c r="AD156"/>
      <c r="AE156"/>
      <c r="AF156"/>
      <c r="AG156"/>
      <c r="AH156"/>
      <c r="AI156"/>
      <c r="AJ156"/>
      <c r="AK156"/>
      <c r="AL156"/>
    </row>
    <row r="157" spans="1:38" x14ac:dyDescent="0.2">
      <c r="A157" s="1"/>
      <c r="B157" s="23" t="s">
        <v>205</v>
      </c>
      <c r="C157" s="1"/>
      <c r="D157" s="32" t="s">
        <v>236</v>
      </c>
      <c r="E157" s="33">
        <v>8</v>
      </c>
      <c r="F157" s="34" t="s">
        <v>236</v>
      </c>
      <c r="G157" s="33">
        <v>8</v>
      </c>
      <c r="H157" s="34" t="s">
        <v>236</v>
      </c>
      <c r="I157" s="33">
        <v>8</v>
      </c>
      <c r="J157" s="34" t="s">
        <v>237</v>
      </c>
      <c r="K157" s="33">
        <v>4</v>
      </c>
      <c r="L157" s="34" t="s">
        <v>237</v>
      </c>
      <c r="M157" s="33">
        <v>4</v>
      </c>
      <c r="N157" s="34" t="s">
        <v>237</v>
      </c>
      <c r="O157" s="35">
        <v>4</v>
      </c>
      <c r="P157" s="1"/>
      <c r="T157"/>
      <c r="U157"/>
      <c r="V157"/>
      <c r="W157"/>
      <c r="X157"/>
      <c r="Y157"/>
      <c r="Z157"/>
      <c r="AA157"/>
      <c r="AB157"/>
      <c r="AC157"/>
      <c r="AD157"/>
      <c r="AE157"/>
      <c r="AF157"/>
      <c r="AG157"/>
      <c r="AH157"/>
      <c r="AI157"/>
      <c r="AJ157"/>
      <c r="AK157"/>
      <c r="AL157"/>
    </row>
    <row r="158" spans="1:38" x14ac:dyDescent="0.2">
      <c r="A158" s="1"/>
      <c r="B158" s="23" t="s">
        <v>205</v>
      </c>
      <c r="C158" s="1"/>
      <c r="D158" s="36" t="s">
        <v>127</v>
      </c>
      <c r="E158" s="33">
        <v>0</v>
      </c>
      <c r="F158" s="37" t="s">
        <v>127</v>
      </c>
      <c r="G158" s="33">
        <v>0</v>
      </c>
      <c r="H158" s="37" t="s">
        <v>127</v>
      </c>
      <c r="I158" s="33">
        <v>0</v>
      </c>
      <c r="J158" s="37" t="s">
        <v>127</v>
      </c>
      <c r="K158" s="33">
        <v>0</v>
      </c>
      <c r="L158" s="37" t="s">
        <v>127</v>
      </c>
      <c r="M158" s="33">
        <v>0</v>
      </c>
      <c r="N158" s="37" t="s">
        <v>127</v>
      </c>
      <c r="O158" s="35">
        <v>0</v>
      </c>
      <c r="P158" s="1"/>
      <c r="R158" s="109" t="s">
        <v>208</v>
      </c>
      <c r="S158" s="109">
        <f>SUM(S153:S156)</f>
        <v>0</v>
      </c>
      <c r="T158"/>
      <c r="U158"/>
      <c r="V158"/>
      <c r="W158"/>
      <c r="X158"/>
      <c r="Y158"/>
      <c r="Z158"/>
      <c r="AA158"/>
      <c r="AB158"/>
      <c r="AC158"/>
      <c r="AD158"/>
      <c r="AE158">
        <f t="shared" ref="AE158:AJ159" si="29">IF(OR(AND($D157=AE$1,$E157&gt;0),AND($F157=AE$1,$G157&gt;0),AND($H157=AE$1,$I157&gt;0),AND($J157=AE$1,$K157&gt;0),AND($L157=AE$1,$M157&gt;0),AND($N157=AE$1,$O157&gt;0)),1,0)</f>
        <v>0</v>
      </c>
      <c r="AF158">
        <f t="shared" si="29"/>
        <v>0</v>
      </c>
      <c r="AG158">
        <f t="shared" si="29"/>
        <v>0</v>
      </c>
      <c r="AH158">
        <f t="shared" si="29"/>
        <v>0</v>
      </c>
      <c r="AI158">
        <f t="shared" si="29"/>
        <v>0</v>
      </c>
      <c r="AJ158">
        <f t="shared" si="29"/>
        <v>0</v>
      </c>
      <c r="AK158"/>
      <c r="AL158"/>
    </row>
    <row r="159" spans="1:38" x14ac:dyDescent="0.2">
      <c r="A159" s="1"/>
      <c r="B159" s="23" t="s">
        <v>121</v>
      </c>
      <c r="C159" s="1"/>
      <c r="D159" s="38">
        <v>30</v>
      </c>
      <c r="E159" s="29" t="s">
        <v>209</v>
      </c>
      <c r="F159" s="39">
        <v>30</v>
      </c>
      <c r="G159" s="29" t="s">
        <v>209</v>
      </c>
      <c r="H159" s="39">
        <v>30</v>
      </c>
      <c r="I159" s="29" t="s">
        <v>209</v>
      </c>
      <c r="J159" s="39">
        <v>30</v>
      </c>
      <c r="K159" s="29" t="s">
        <v>209</v>
      </c>
      <c r="L159" s="39">
        <v>30</v>
      </c>
      <c r="M159" s="29" t="s">
        <v>209</v>
      </c>
      <c r="N159" s="39">
        <v>30</v>
      </c>
      <c r="O159" s="28" t="s">
        <v>209</v>
      </c>
      <c r="P159" s="1"/>
      <c r="T159"/>
      <c r="U159"/>
      <c r="V159"/>
      <c r="W159"/>
      <c r="X159"/>
      <c r="Y159"/>
      <c r="Z159"/>
      <c r="AA159"/>
      <c r="AB159"/>
      <c r="AC159"/>
      <c r="AD159"/>
      <c r="AE159">
        <f t="shared" si="29"/>
        <v>0</v>
      </c>
      <c r="AF159">
        <f t="shared" si="29"/>
        <v>0</v>
      </c>
      <c r="AG159">
        <f t="shared" si="29"/>
        <v>0</v>
      </c>
      <c r="AH159">
        <f t="shared" si="29"/>
        <v>0</v>
      </c>
      <c r="AI159">
        <f t="shared" si="29"/>
        <v>0</v>
      </c>
      <c r="AJ159">
        <f t="shared" si="29"/>
        <v>0</v>
      </c>
      <c r="AK159"/>
      <c r="AL159"/>
    </row>
    <row r="160" spans="1:38" ht="11" customHeight="1" x14ac:dyDescent="0.2">
      <c r="A160" s="1"/>
      <c r="B160" s="2"/>
      <c r="C160" s="1"/>
      <c r="D160" s="555" t="s">
        <v>210</v>
      </c>
      <c r="E160" s="556"/>
      <c r="F160" s="556"/>
      <c r="G160" s="556"/>
      <c r="H160" s="556"/>
      <c r="I160" s="556"/>
      <c r="J160" s="557" t="s">
        <v>210</v>
      </c>
      <c r="K160" s="556"/>
      <c r="L160" s="556"/>
      <c r="M160" s="556"/>
      <c r="N160" s="556"/>
      <c r="O160" s="558"/>
      <c r="P160" s="1"/>
      <c r="T160"/>
      <c r="U160"/>
      <c r="V160"/>
      <c r="W160"/>
      <c r="X160"/>
      <c r="Y160"/>
      <c r="Z160"/>
      <c r="AA160"/>
      <c r="AB160"/>
      <c r="AC160"/>
      <c r="AD160"/>
      <c r="AE160"/>
      <c r="AF160"/>
      <c r="AG160"/>
      <c r="AH160"/>
      <c r="AI160"/>
      <c r="AJ160"/>
      <c r="AK160"/>
      <c r="AL160"/>
    </row>
    <row r="161" spans="1:38" ht="6" customHeight="1" x14ac:dyDescent="0.2">
      <c r="A161" s="1"/>
      <c r="B161" s="2"/>
      <c r="C161" s="1"/>
      <c r="D161" s="3"/>
      <c r="E161" s="4"/>
      <c r="F161" s="5"/>
      <c r="G161" s="4"/>
      <c r="H161" s="5"/>
      <c r="I161" s="4"/>
      <c r="J161" s="5"/>
      <c r="K161" s="4"/>
      <c r="L161" s="5"/>
      <c r="M161" s="4"/>
      <c r="N161" s="5"/>
      <c r="O161" s="6"/>
      <c r="P161" s="1"/>
      <c r="T161"/>
      <c r="U161"/>
      <c r="V161"/>
      <c r="W161"/>
      <c r="X161"/>
      <c r="Y161"/>
      <c r="Z161"/>
      <c r="AA161"/>
      <c r="AB161"/>
      <c r="AC161"/>
      <c r="AD161"/>
      <c r="AE161"/>
      <c r="AF161"/>
      <c r="AG161"/>
      <c r="AH161"/>
      <c r="AI161"/>
      <c r="AJ161"/>
      <c r="AK161"/>
      <c r="AL161"/>
    </row>
    <row r="162" spans="1:38" x14ac:dyDescent="0.2">
      <c r="A162" s="1"/>
      <c r="B162" s="23" t="s">
        <v>211</v>
      </c>
      <c r="C162" s="1"/>
      <c r="D162" s="12">
        <f>(((VLOOKUP($D157,Data!$R$4:$U$69,2,FALSE)*$E157)+(VLOOKUP($D158,Data!$R$4:$U$69,2,FALSE)*$E158))/E150)*Data!$R$3</f>
        <v>12</v>
      </c>
      <c r="E162" s="13" t="str">
        <f>IF(D162&gt;Data!$AC$7,"&lt;OVER!","A RMS")</f>
        <v>A RMS</v>
      </c>
      <c r="F162" s="14">
        <f>(((VLOOKUP($F157,Data!$R$4:$U$69,2,FALSE)*$G157)+(VLOOKUP($F158,Data!$R$4:$U$69,2,FALSE)*$G158))/G150)*Data!$R$3</f>
        <v>12</v>
      </c>
      <c r="G162" s="13" t="str">
        <f>IF(F162&gt;Data!$AC$7,"&lt;OVER!","A RMS")</f>
        <v>A RMS</v>
      </c>
      <c r="H162" s="14">
        <f>(((VLOOKUP($H157,Data!$R$4:$U$69,2,FALSE)*$I157)+(VLOOKUP($H158,Data!$R$4:$U$69,2,FALSE)*$I158))/I150)*Data!$R$3</f>
        <v>12</v>
      </c>
      <c r="I162" s="13" t="str">
        <f>IF(H162&gt;Data!$AC$7,"&lt;OVER!","A RMS")</f>
        <v>A RMS</v>
      </c>
      <c r="J162" s="14">
        <f>(((VLOOKUP($J157,Data!$R$4:$U$69,2,FALSE)*$K157)+(VLOOKUP($J158,Data!$R$4:$U$69,2,FALSE)*$K158))/E150)*Data!$R$3</f>
        <v>10</v>
      </c>
      <c r="K162" s="13" t="str">
        <f>IF(J162&gt;Data!$AC$7,"&lt;OVER!","A RMS")</f>
        <v>A RMS</v>
      </c>
      <c r="L162" s="14">
        <f>(((VLOOKUP($L157,Data!$R$4:$U$69,2,FALSE)*$M157)+(VLOOKUP($L158,Data!$R$4:$U$69,2,FALSE)*$M158))/G150)*Data!$R$3</f>
        <v>10</v>
      </c>
      <c r="M162" s="13" t="str">
        <f>IF(L162&gt;Data!$AC$7,"&lt;OVER!","A RMS")</f>
        <v>A RMS</v>
      </c>
      <c r="N162" s="14">
        <f>(((VLOOKUP($N157,Data!$R$4:$U$69,2,FALSE)*$O157)+(VLOOKUP($N158,Data!$R$4:$U$69,2,FALSE)*$O158))/I150)*Data!$R$3</f>
        <v>10</v>
      </c>
      <c r="O162" s="15" t="str">
        <f>IF(N162&gt;Data!$AC$7,"&lt;OVER!","A RMS")</f>
        <v>A RMS</v>
      </c>
      <c r="P162" s="1"/>
      <c r="T162"/>
      <c r="U162"/>
      <c r="V162"/>
      <c r="W162"/>
      <c r="X162"/>
      <c r="Y162"/>
      <c r="Z162"/>
      <c r="AA162"/>
      <c r="AB162"/>
      <c r="AC162"/>
      <c r="AD162"/>
      <c r="AE162"/>
      <c r="AF162"/>
      <c r="AG162"/>
      <c r="AH162"/>
      <c r="AI162"/>
      <c r="AJ162"/>
      <c r="AK162"/>
      <c r="AL162"/>
    </row>
    <row r="163" spans="1:38" x14ac:dyDescent="0.2">
      <c r="A163" s="1"/>
      <c r="B163" s="23" t="s">
        <v>199</v>
      </c>
      <c r="C163" s="1"/>
      <c r="D163" s="12">
        <f>(((VLOOKUP($D157,Data!$R$4:$U$69,3,FALSE)*$E157)+(VLOOKUP($D158,Data!$R$4:$U$69,3,FALSE)*$E158))/E150)*Data!$R$3</f>
        <v>18.399999999999999</v>
      </c>
      <c r="E163" s="13" t="s">
        <v>116</v>
      </c>
      <c r="F163" s="14">
        <f>(((VLOOKUP($F157,Data!$R$4:$U$69,3,FALSE)*$G157)+(VLOOKUP($F158,Data!$R$4:$U$69,3,FALSE)*$G158))/G150)*Data!$R$3</f>
        <v>18.399999999999999</v>
      </c>
      <c r="G163" s="13" t="s">
        <v>116</v>
      </c>
      <c r="H163" s="14">
        <f>(((VLOOKUP($H157,Data!$R$4:$U$69,3,FALSE)*$I157)+(VLOOKUP($H158,Data!$R$4:$U$69,3,FALSE)*$I158))/I150)*Data!$R$3</f>
        <v>18.399999999999999</v>
      </c>
      <c r="I163" s="13" t="s">
        <v>116</v>
      </c>
      <c r="J163" s="14">
        <f>(((VLOOKUP($J157,Data!$R$4:$U$69,3,FALSE)*$K157)+(VLOOKUP($J158,Data!$R$4:$U$69,3,FALSE)*$K158))/E150)*Data!$R$3</f>
        <v>18.8</v>
      </c>
      <c r="K163" s="13" t="s">
        <v>116</v>
      </c>
      <c r="L163" s="14">
        <f>(((VLOOKUP($L157,Data!$R$4:$U$69,3,FALSE)*$M157)+(VLOOKUP($L158,Data!$R$4:$U$69,3,FALSE)*$M158))/G150)*Data!$R$3</f>
        <v>18.8</v>
      </c>
      <c r="M163" s="13" t="s">
        <v>116</v>
      </c>
      <c r="N163" s="14">
        <f>(((VLOOKUP($N157,Data!$R$4:$U$69,3,FALSE)*$O157)+(VLOOKUP($N158,Data!$R$4:$U$69,3,FALSE)*$O158))/I150)*Data!$R$3</f>
        <v>18.8</v>
      </c>
      <c r="O163" s="15" t="s">
        <v>116</v>
      </c>
      <c r="P163" s="1"/>
      <c r="T163"/>
      <c r="U163"/>
      <c r="V163"/>
      <c r="W163"/>
      <c r="X163"/>
      <c r="Y163"/>
      <c r="Z163"/>
      <c r="AA163"/>
      <c r="AB163"/>
      <c r="AC163"/>
      <c r="AD163"/>
      <c r="AE163"/>
      <c r="AF163"/>
      <c r="AG163"/>
      <c r="AH163"/>
      <c r="AI163"/>
      <c r="AJ163"/>
      <c r="AK163"/>
      <c r="AL163"/>
    </row>
    <row r="164" spans="1:38" x14ac:dyDescent="0.2">
      <c r="A164" s="1"/>
      <c r="B164" s="23" t="s">
        <v>200</v>
      </c>
      <c r="C164" s="1"/>
      <c r="D164" s="12">
        <f>(((VLOOKUP($D157,Data!$R$4:$U$69,4,FALSE)*$E157)+(VLOOKUP($D158,Data!$R$4:$U$69,4,FALSE)*$E158))/E150)*Data!$R$3</f>
        <v>50.4</v>
      </c>
      <c r="E164" s="13" t="str">
        <f>IF(D164&gt;Data!$AC$8,"&lt;OVER!","A Pk")</f>
        <v>A Pk</v>
      </c>
      <c r="F164" s="14">
        <f>(((VLOOKUP($F157,Data!$R$4:$U$69,4,FALSE)*$G157)+(VLOOKUP($F158,Data!$R$4:$U$69,4,FALSE)*$G158))/G150)*Data!$R$3</f>
        <v>50.4</v>
      </c>
      <c r="G164" s="13" t="str">
        <f>IF(F164&gt;Data!$AC$8,"&lt;OVER!","A Pk")</f>
        <v>A Pk</v>
      </c>
      <c r="H164" s="14">
        <f>(((VLOOKUP($H157,Data!$R$4:$U$69,4,FALSE)*$I157)+(VLOOKUP($H158,Data!$R$4:$U$69,4,FALSE)*$I158))/I150)*Data!$R$3</f>
        <v>50.4</v>
      </c>
      <c r="I164" s="13" t="str">
        <f>IF(H164&gt;Data!$AC$8,"&lt;OVER!","A Pk")</f>
        <v>A Pk</v>
      </c>
      <c r="J164" s="14">
        <f>(((VLOOKUP($J157,Data!$R$4:$U$69,4,FALSE)*$K157)+(VLOOKUP($J158,Data!$R$4:$U$69,4,FALSE)*$K158))/E150)*Data!$R$3</f>
        <v>36.799999999999997</v>
      </c>
      <c r="K164" s="13" t="str">
        <f>IF(J164&gt;Data!$AC$8,"&lt;OVER!","A Pk")</f>
        <v>A Pk</v>
      </c>
      <c r="L164" s="14">
        <f>(((VLOOKUP($L157,Data!$R$4:$U$69,4,FALSE)*$M157)+(VLOOKUP($L158,Data!$R$4:$U$69,4,FALSE)*$M158))/G150)*Data!$R$3</f>
        <v>36.799999999999997</v>
      </c>
      <c r="M164" s="13" t="str">
        <f>IF(L164&gt;Data!$AC$8,"&lt;OVER!","A Pk")</f>
        <v>A Pk</v>
      </c>
      <c r="N164" s="14">
        <f>(((VLOOKUP($N157,Data!$R$4:$U$69,4,FALSE)*$O157)+(VLOOKUP($N158,Data!$R$4:$U$69,4,FALSE)*$O158))/I150)*Data!$R$3</f>
        <v>36.799999999999997</v>
      </c>
      <c r="O164" s="15" t="str">
        <f>IF(N164&gt;Data!$AC$8,"&lt;OVER!","A Pk")</f>
        <v>A Pk</v>
      </c>
      <c r="P164" s="1"/>
      <c r="T164"/>
      <c r="U164"/>
      <c r="V164"/>
      <c r="W164"/>
      <c r="X164"/>
      <c r="Y164"/>
      <c r="Z164"/>
      <c r="AA164"/>
      <c r="AB164"/>
      <c r="AC164"/>
      <c r="AD164"/>
      <c r="AE164"/>
      <c r="AF164"/>
      <c r="AG164"/>
      <c r="AH164"/>
      <c r="AI164"/>
      <c r="AJ164"/>
      <c r="AK164"/>
      <c r="AL164"/>
    </row>
    <row r="165" spans="1:38" ht="6" customHeight="1" x14ac:dyDescent="0.2">
      <c r="A165" s="1"/>
      <c r="B165" s="23"/>
      <c r="C165" s="1"/>
      <c r="D165" s="12"/>
      <c r="E165" s="16"/>
      <c r="F165" s="14"/>
      <c r="G165" s="16"/>
      <c r="H165" s="14"/>
      <c r="I165" s="16"/>
      <c r="J165" s="14"/>
      <c r="K165" s="16"/>
      <c r="L165" s="14"/>
      <c r="M165" s="16"/>
      <c r="N165" s="14"/>
      <c r="O165" s="15"/>
      <c r="P165" s="1"/>
      <c r="AE165"/>
      <c r="AF165"/>
      <c r="AG165"/>
      <c r="AH165"/>
      <c r="AI165"/>
      <c r="AJ165"/>
      <c r="AK165"/>
      <c r="AL165"/>
    </row>
    <row r="166" spans="1:38" x14ac:dyDescent="0.2">
      <c r="A166" s="1"/>
      <c r="B166" s="23" t="s">
        <v>212</v>
      </c>
      <c r="C166" s="1"/>
      <c r="D166" s="17">
        <f>(17*(10^-8))*((2*D159)/($N$150*(10^-5)))</f>
        <v>0.40800000000000003</v>
      </c>
      <c r="E166" s="16" t="s">
        <v>213</v>
      </c>
      <c r="F166" s="18">
        <f>(17*(10^-8))*((2*F159)/($N$150*(10^-5)))</f>
        <v>0.40800000000000003</v>
      </c>
      <c r="G166" s="16" t="s">
        <v>213</v>
      </c>
      <c r="H166" s="18">
        <f>(17*(10^-8))*((2*H159)/($N$150*(10^-5)))</f>
        <v>0.40800000000000003</v>
      </c>
      <c r="I166" s="16" t="s">
        <v>213</v>
      </c>
      <c r="J166" s="18">
        <f>(17*(10^-8))*((2*J159)/($N$150*(10^-5)))</f>
        <v>0.40800000000000003</v>
      </c>
      <c r="K166" s="16" t="s">
        <v>213</v>
      </c>
      <c r="L166" s="18">
        <f>(17*(10^-8))*((2*L159)/($N$150*(10^-5)))</f>
        <v>0.40800000000000003</v>
      </c>
      <c r="M166" s="16" t="s">
        <v>213</v>
      </c>
      <c r="N166" s="18">
        <f>(17*(10^-8))*((2*N159)/($N$150*(10^-5)))</f>
        <v>0.40800000000000003</v>
      </c>
      <c r="O166" s="15" t="s">
        <v>213</v>
      </c>
      <c r="P166" s="1"/>
      <c r="AE166"/>
      <c r="AF166"/>
      <c r="AG166"/>
      <c r="AH166"/>
      <c r="AI166"/>
      <c r="AJ166"/>
      <c r="AK166"/>
      <c r="AL166"/>
    </row>
    <row r="167" spans="1:38" x14ac:dyDescent="0.2">
      <c r="A167" s="1"/>
      <c r="B167" s="23" t="s">
        <v>214</v>
      </c>
      <c r="C167" s="1"/>
      <c r="D167" s="19">
        <f>E150*SQRT(2)</f>
        <v>325.26911934581187</v>
      </c>
      <c r="E167" s="16" t="s">
        <v>215</v>
      </c>
      <c r="F167" s="20">
        <f>G150*SQRT(2)</f>
        <v>325.26911934581187</v>
      </c>
      <c r="G167" s="16" t="s">
        <v>215</v>
      </c>
      <c r="H167" s="20">
        <f>I150*SQRT(2)</f>
        <v>325.26911934581187</v>
      </c>
      <c r="I167" s="16" t="s">
        <v>215</v>
      </c>
      <c r="J167" s="20">
        <f>E150*SQRT(2)</f>
        <v>325.26911934581187</v>
      </c>
      <c r="K167" s="16" t="s">
        <v>215</v>
      </c>
      <c r="L167" s="20">
        <f>G150*SQRT(2)</f>
        <v>325.26911934581187</v>
      </c>
      <c r="M167" s="16" t="s">
        <v>215</v>
      </c>
      <c r="N167" s="20">
        <f>I150*SQRT(2)</f>
        <v>325.26911934581187</v>
      </c>
      <c r="O167" s="15" t="s">
        <v>215</v>
      </c>
      <c r="P167" s="1"/>
      <c r="Q167" s="559" t="s">
        <v>216</v>
      </c>
      <c r="S167" s="111"/>
      <c r="T167" s="112" t="s">
        <v>166</v>
      </c>
      <c r="U167" s="112" t="s">
        <v>167</v>
      </c>
      <c r="V167" s="112" t="s">
        <v>168</v>
      </c>
      <c r="W167" s="112"/>
      <c r="X167" s="111"/>
      <c r="Y167" s="112" t="s">
        <v>217</v>
      </c>
      <c r="Z167" s="112" t="s">
        <v>218</v>
      </c>
      <c r="AA167" s="112" t="s">
        <v>219</v>
      </c>
      <c r="AB167" s="112" t="s">
        <v>220</v>
      </c>
      <c r="AC167" s="112" t="s">
        <v>221</v>
      </c>
      <c r="AD167" s="112" t="s">
        <v>222</v>
      </c>
      <c r="AE167"/>
      <c r="AF167"/>
      <c r="AG167"/>
      <c r="AH167"/>
      <c r="AI167"/>
      <c r="AJ167"/>
      <c r="AK167"/>
      <c r="AL167"/>
    </row>
    <row r="168" spans="1:38" x14ac:dyDescent="0.2">
      <c r="A168" s="1"/>
      <c r="B168" s="23" t="s">
        <v>223</v>
      </c>
      <c r="C168" s="1"/>
      <c r="D168" s="12">
        <f>D164*D166</f>
        <v>20.563200000000002</v>
      </c>
      <c r="E168" s="16" t="s">
        <v>215</v>
      </c>
      <c r="F168" s="14">
        <f>F164*F166</f>
        <v>20.563200000000002</v>
      </c>
      <c r="G168" s="16" t="s">
        <v>215</v>
      </c>
      <c r="H168" s="14">
        <f>H164*H166</f>
        <v>20.563200000000002</v>
      </c>
      <c r="I168" s="16" t="s">
        <v>215</v>
      </c>
      <c r="J168" s="14">
        <f>J164*J166</f>
        <v>15.0144</v>
      </c>
      <c r="K168" s="16" t="s">
        <v>215</v>
      </c>
      <c r="L168" s="14">
        <f>L164*L166</f>
        <v>15.0144</v>
      </c>
      <c r="M168" s="16" t="s">
        <v>215</v>
      </c>
      <c r="N168" s="14">
        <f>N164*N166</f>
        <v>15.0144</v>
      </c>
      <c r="O168" s="15" t="s">
        <v>215</v>
      </c>
      <c r="P168" s="1"/>
      <c r="Q168" s="559"/>
      <c r="S168" s="111" t="s">
        <v>224</v>
      </c>
      <c r="T168" s="112">
        <f>Data!$AC$6</f>
        <v>32</v>
      </c>
      <c r="U168" s="112">
        <f>Data!$AC$6</f>
        <v>32</v>
      </c>
      <c r="V168" s="112">
        <f>Data!$AC$6</f>
        <v>32</v>
      </c>
      <c r="W168" s="112"/>
      <c r="X168" s="111" t="s">
        <v>224</v>
      </c>
      <c r="Y168" s="112">
        <f>Data!$AC$7</f>
        <v>16</v>
      </c>
      <c r="Z168" s="112">
        <f>Data!$AC$7</f>
        <v>16</v>
      </c>
      <c r="AA168" s="112">
        <f>Data!$AC$7</f>
        <v>16</v>
      </c>
      <c r="AB168" s="112">
        <f>Data!$AC$7</f>
        <v>16</v>
      </c>
      <c r="AC168" s="112">
        <f>Data!$AC$7</f>
        <v>16</v>
      </c>
      <c r="AD168" s="112">
        <f>Data!$AC$7</f>
        <v>16</v>
      </c>
      <c r="AE168"/>
      <c r="AF168"/>
      <c r="AG168"/>
      <c r="AH168"/>
      <c r="AI168"/>
      <c r="AJ168"/>
      <c r="AK168"/>
      <c r="AL168"/>
    </row>
    <row r="169" spans="1:38" x14ac:dyDescent="0.2">
      <c r="A169" s="1"/>
      <c r="B169" s="23" t="s">
        <v>225</v>
      </c>
      <c r="C169" s="1"/>
      <c r="D169" s="19">
        <f>D167-D168</f>
        <v>304.70591934581188</v>
      </c>
      <c r="E169" s="16" t="s">
        <v>215</v>
      </c>
      <c r="F169" s="20">
        <f>F167-F168</f>
        <v>304.70591934581188</v>
      </c>
      <c r="G169" s="16" t="s">
        <v>215</v>
      </c>
      <c r="H169" s="20">
        <f>H167-H168</f>
        <v>304.70591934581188</v>
      </c>
      <c r="I169" s="16" t="s">
        <v>215</v>
      </c>
      <c r="J169" s="20">
        <f>J167-J168</f>
        <v>310.25471934581185</v>
      </c>
      <c r="K169" s="16" t="s">
        <v>215</v>
      </c>
      <c r="L169" s="20">
        <f>L167-L168</f>
        <v>310.25471934581185</v>
      </c>
      <c r="M169" s="16" t="s">
        <v>215</v>
      </c>
      <c r="N169" s="20">
        <f>N167-N168</f>
        <v>310.25471934581185</v>
      </c>
      <c r="O169" s="15" t="s">
        <v>215</v>
      </c>
      <c r="P169" s="1"/>
      <c r="Q169" s="559"/>
      <c r="S169" s="111"/>
      <c r="T169" s="112"/>
      <c r="U169" s="112"/>
      <c r="V169" s="112"/>
      <c r="W169" s="112"/>
      <c r="X169" s="111" t="s">
        <v>226</v>
      </c>
      <c r="Y169" s="112">
        <f>Data!$AC$8</f>
        <v>80</v>
      </c>
      <c r="Z169" s="112">
        <f>Data!$AC$8</f>
        <v>80</v>
      </c>
      <c r="AA169" s="112">
        <f>Data!$AC$8</f>
        <v>80</v>
      </c>
      <c r="AB169" s="112">
        <f>Data!$AC$8</f>
        <v>80</v>
      </c>
      <c r="AC169" s="112">
        <f>Data!$AC$8</f>
        <v>80</v>
      </c>
      <c r="AD169" s="112">
        <f>Data!$AC$8</f>
        <v>80</v>
      </c>
      <c r="AE169"/>
      <c r="AF169"/>
      <c r="AG169"/>
      <c r="AH169"/>
      <c r="AI169"/>
      <c r="AJ169"/>
      <c r="AK169"/>
      <c r="AL169"/>
    </row>
    <row r="170" spans="1:38" ht="17" thickBot="1" x14ac:dyDescent="0.25">
      <c r="A170" s="1"/>
      <c r="B170" s="24" t="s">
        <v>227</v>
      </c>
      <c r="C170" s="1"/>
      <c r="D170" s="141">
        <f>(D168*100)/D167</f>
        <v>6.3219035490848761</v>
      </c>
      <c r="E170" s="21" t="str">
        <f>IF(D170&gt;Data!$AC$13,"&lt;OVER!","% V Pk")</f>
        <v>% V Pk</v>
      </c>
      <c r="F170" s="142">
        <f>(F168*100)/F167</f>
        <v>6.3219035490848761</v>
      </c>
      <c r="G170" s="21" t="str">
        <f>IF(F170&gt;Data!$AC$13,"&lt;OVER!","% V Pk")</f>
        <v>% V Pk</v>
      </c>
      <c r="H170" s="142">
        <f>(H168*100)/H167</f>
        <v>6.3219035490848761</v>
      </c>
      <c r="I170" s="21" t="str">
        <f>IF(H170&gt;Data!$AC$13,"&lt;OVER!","% V Pk")</f>
        <v>% V Pk</v>
      </c>
      <c r="J170" s="142">
        <f>(J168*100)/J167</f>
        <v>4.6159930675857819</v>
      </c>
      <c r="K170" s="21" t="str">
        <f>IF(J170&gt;Data!$AC$13,"&lt;OVER!","% V Pk")</f>
        <v>% V Pk</v>
      </c>
      <c r="L170" s="142">
        <f>(L168*100)/L167</f>
        <v>4.6159930675857819</v>
      </c>
      <c r="M170" s="21" t="str">
        <f>IF(L170&gt;Data!$AC$13,"&lt;OVER!","% V Pk")</f>
        <v>% V Pk</v>
      </c>
      <c r="N170" s="142">
        <f>(N168*100)/N167</f>
        <v>4.6159930675857819</v>
      </c>
      <c r="O170" s="22" t="str">
        <f>IF(N170&gt;Data!$AC$13,"&lt;OVER!","% V Pk")</f>
        <v>% V Pk</v>
      </c>
      <c r="P170" s="1"/>
      <c r="Q170" s="559"/>
      <c r="S170" s="111" t="str">
        <f>'EU MDM-5000'!B152</f>
        <v>MLTC + 30%</v>
      </c>
      <c r="T170" s="112">
        <f>'EU MDM-5000'!D152</f>
        <v>28.6</v>
      </c>
      <c r="U170" s="112">
        <f>'EU MDM-5000'!F152</f>
        <v>28.6</v>
      </c>
      <c r="V170" s="112">
        <f>'EU MDM-5000'!H152</f>
        <v>28.6</v>
      </c>
      <c r="W170" s="112"/>
      <c r="X170" s="111" t="str">
        <f>'EU MDM-5000'!B152</f>
        <v>MLTC + 30%</v>
      </c>
      <c r="Y170" s="112">
        <f>'EU MDM-5000'!D162</f>
        <v>12</v>
      </c>
      <c r="Z170" s="112">
        <f>'EU MDM-5000'!F162</f>
        <v>12</v>
      </c>
      <c r="AA170" s="112">
        <f>'EU MDM-5000'!H162</f>
        <v>12</v>
      </c>
      <c r="AB170" s="112">
        <f>'EU MDM-5000'!J162</f>
        <v>10</v>
      </c>
      <c r="AC170" s="112">
        <f>'EU MDM-5000'!L162</f>
        <v>10</v>
      </c>
      <c r="AD170" s="112">
        <f>'EU MDM-5000'!N162</f>
        <v>10</v>
      </c>
      <c r="AE170"/>
      <c r="AF170"/>
      <c r="AG170"/>
      <c r="AH170"/>
      <c r="AI170"/>
      <c r="AJ170"/>
      <c r="AK170"/>
      <c r="AL170"/>
    </row>
    <row r="171" spans="1:38" x14ac:dyDescent="0.2">
      <c r="A171" s="1"/>
      <c r="B171" s="1"/>
      <c r="C171" s="1"/>
      <c r="D171" s="1"/>
      <c r="E171" s="1"/>
      <c r="F171" s="1"/>
      <c r="G171" s="1"/>
      <c r="H171" s="1"/>
      <c r="I171" s="1"/>
      <c r="J171" s="1"/>
      <c r="K171" s="1"/>
      <c r="L171" s="1"/>
      <c r="M171" s="1"/>
      <c r="N171" s="1"/>
      <c r="O171" s="1"/>
      <c r="P171" s="1"/>
      <c r="Q171" s="559"/>
      <c r="S171" s="111" t="str">
        <f>'EU MDM-5000'!B153</f>
        <v>Burst RMS</v>
      </c>
      <c r="T171" s="112">
        <f>'EU MDM-5000'!D153</f>
        <v>37.200000000000003</v>
      </c>
      <c r="U171" s="112">
        <f>'EU MDM-5000'!F153</f>
        <v>37.200000000000003</v>
      </c>
      <c r="V171" s="112">
        <f>'EU MDM-5000'!H153</f>
        <v>37.200000000000003</v>
      </c>
      <c r="W171" s="112"/>
      <c r="X171" s="111" t="str">
        <f>'EU MDM-5000'!B153</f>
        <v>Burst RMS</v>
      </c>
      <c r="Y171" s="112">
        <f>'EU MDM-5000'!D163</f>
        <v>18.399999999999999</v>
      </c>
      <c r="Z171" s="112">
        <f>'EU MDM-5000'!F163</f>
        <v>18.399999999999999</v>
      </c>
      <c r="AA171" s="112">
        <f>'EU MDM-5000'!H163</f>
        <v>18.399999999999999</v>
      </c>
      <c r="AB171" s="112">
        <f>'EU MDM-5000'!J163</f>
        <v>18.8</v>
      </c>
      <c r="AC171" s="112">
        <f>'EU MDM-5000'!L163</f>
        <v>18.8</v>
      </c>
      <c r="AD171" s="112">
        <f>'EU MDM-5000'!N163</f>
        <v>18.8</v>
      </c>
      <c r="AE171"/>
      <c r="AF171"/>
      <c r="AG171"/>
      <c r="AH171"/>
      <c r="AI171"/>
      <c r="AJ171"/>
      <c r="AK171"/>
      <c r="AL171"/>
    </row>
    <row r="172" spans="1:38" x14ac:dyDescent="0.2">
      <c r="A172" s="1"/>
      <c r="B172" s="1"/>
      <c r="C172" s="1"/>
      <c r="D172" s="1"/>
      <c r="E172" s="1"/>
      <c r="F172" s="1"/>
      <c r="G172" s="1"/>
      <c r="H172" s="1"/>
      <c r="I172" s="1"/>
      <c r="J172" s="1"/>
      <c r="K172" s="1"/>
      <c r="L172" s="1"/>
      <c r="M172" s="1"/>
      <c r="N172" s="1"/>
      <c r="O172" s="1"/>
      <c r="P172" s="1"/>
      <c r="Q172" s="559"/>
      <c r="S172" s="111" t="str">
        <f>'EU MDM-5000'!B154</f>
        <v>Max Inst Pk</v>
      </c>
      <c r="T172" s="112">
        <f>'EU MDM-5000'!D154</f>
        <v>87.199999999999989</v>
      </c>
      <c r="U172" s="112">
        <f>'EU MDM-5000'!F154</f>
        <v>87.199999999999989</v>
      </c>
      <c r="V172" s="112">
        <f>'EU MDM-5000'!H154</f>
        <v>87.199999999999989</v>
      </c>
      <c r="W172" s="112"/>
      <c r="X172" s="111" t="str">
        <f>'EU MDM-5000'!B154</f>
        <v>Max Inst Pk</v>
      </c>
      <c r="Y172" s="112">
        <f>'EU MDM-5000'!D164</f>
        <v>50.4</v>
      </c>
      <c r="Z172" s="112">
        <f>'EU MDM-5000'!F164</f>
        <v>50.4</v>
      </c>
      <c r="AA172" s="112">
        <f>'EU MDM-5000'!H164</f>
        <v>50.4</v>
      </c>
      <c r="AB172" s="112">
        <f>'EU MDM-5000'!J164</f>
        <v>36.799999999999997</v>
      </c>
      <c r="AC172" s="112">
        <f>'EU MDM-5000'!L164</f>
        <v>36.799999999999997</v>
      </c>
      <c r="AD172" s="112">
        <f>'EU MDM-5000'!N164</f>
        <v>36.799999999999997</v>
      </c>
      <c r="AE172"/>
      <c r="AF172"/>
      <c r="AG172"/>
      <c r="AH172"/>
      <c r="AI172"/>
      <c r="AJ172"/>
      <c r="AK172"/>
      <c r="AL172"/>
    </row>
    <row r="173" spans="1:38" x14ac:dyDescent="0.2">
      <c r="A173" s="1"/>
      <c r="B173" s="1"/>
      <c r="C173" s="1"/>
      <c r="D173" s="1"/>
      <c r="E173" s="1"/>
      <c r="F173" s="1"/>
      <c r="G173" s="1"/>
      <c r="H173" s="1"/>
      <c r="I173" s="1"/>
      <c r="J173" s="1"/>
      <c r="K173" s="1"/>
      <c r="L173" s="1"/>
      <c r="M173" s="1"/>
      <c r="N173" s="1"/>
      <c r="O173" s="1"/>
      <c r="P173" s="1"/>
      <c r="Q173" s="559"/>
      <c r="S173" s="111"/>
      <c r="T173" s="112"/>
      <c r="U173" s="112"/>
      <c r="V173" s="112"/>
      <c r="W173" s="112"/>
      <c r="X173" s="111"/>
      <c r="Y173" s="112"/>
      <c r="Z173" s="112"/>
      <c r="AA173" s="112"/>
      <c r="AB173" s="112"/>
      <c r="AC173" s="112"/>
      <c r="AD173" s="112"/>
      <c r="AE173"/>
      <c r="AF173"/>
      <c r="AG173"/>
      <c r="AH173"/>
      <c r="AI173"/>
      <c r="AJ173"/>
      <c r="AK173"/>
      <c r="AL173"/>
    </row>
    <row r="174" spans="1:38" x14ac:dyDescent="0.2">
      <c r="A174" s="1"/>
      <c r="B174" s="1"/>
      <c r="C174" s="1"/>
      <c r="D174" s="1"/>
      <c r="E174" s="1"/>
      <c r="F174" s="1"/>
      <c r="G174" s="1"/>
      <c r="H174" s="1"/>
      <c r="I174" s="1"/>
      <c r="J174" s="1"/>
      <c r="K174" s="1"/>
      <c r="L174" s="1"/>
      <c r="M174" s="1"/>
      <c r="N174" s="1"/>
      <c r="O174" s="1"/>
      <c r="P174" s="1"/>
      <c r="Q174" s="559"/>
      <c r="S174" s="111"/>
      <c r="T174" s="112"/>
      <c r="U174" s="112"/>
      <c r="V174" s="112"/>
      <c r="W174" s="112"/>
      <c r="X174" s="111"/>
      <c r="Y174" s="112"/>
      <c r="Z174" s="112"/>
      <c r="AA174" s="112"/>
      <c r="AB174" s="112"/>
      <c r="AC174" s="112"/>
      <c r="AD174" s="112"/>
      <c r="AE174"/>
      <c r="AF174"/>
      <c r="AG174"/>
      <c r="AH174"/>
      <c r="AI174"/>
      <c r="AJ174"/>
      <c r="AK174"/>
      <c r="AL174"/>
    </row>
    <row r="175" spans="1:38" x14ac:dyDescent="0.2">
      <c r="A175" s="1"/>
      <c r="B175" s="1"/>
      <c r="C175" s="1"/>
      <c r="D175" s="1"/>
      <c r="E175" s="1"/>
      <c r="F175" s="1"/>
      <c r="G175" s="1"/>
      <c r="H175" s="1"/>
      <c r="I175" s="1"/>
      <c r="J175" s="1"/>
      <c r="K175" s="1"/>
      <c r="L175" s="1"/>
      <c r="M175" s="1"/>
      <c r="N175" s="1"/>
      <c r="O175" s="1"/>
      <c r="P175" s="1"/>
      <c r="Q175" s="559"/>
      <c r="S175" s="111" t="s">
        <v>228</v>
      </c>
      <c r="T175" s="112">
        <f>(100*T170)/T168</f>
        <v>89.375</v>
      </c>
      <c r="U175" s="112">
        <f>(100*U170)/U168</f>
        <v>89.375</v>
      </c>
      <c r="V175" s="112">
        <f>(100*V170)/V168</f>
        <v>89.375</v>
      </c>
      <c r="W175" s="112"/>
      <c r="X175" s="111" t="s">
        <v>228</v>
      </c>
      <c r="Y175" s="112">
        <f t="shared" ref="Y175:AD175" si="30">(100*Y170)/Y168</f>
        <v>75</v>
      </c>
      <c r="Z175" s="112">
        <f t="shared" si="30"/>
        <v>75</v>
      </c>
      <c r="AA175" s="112">
        <f t="shared" si="30"/>
        <v>75</v>
      </c>
      <c r="AB175" s="112">
        <f t="shared" si="30"/>
        <v>62.5</v>
      </c>
      <c r="AC175" s="112">
        <f t="shared" si="30"/>
        <v>62.5</v>
      </c>
      <c r="AD175" s="112">
        <f t="shared" si="30"/>
        <v>62.5</v>
      </c>
      <c r="AE175"/>
      <c r="AF175"/>
      <c r="AG175"/>
      <c r="AH175"/>
      <c r="AI175"/>
      <c r="AJ175"/>
      <c r="AK175"/>
      <c r="AL175"/>
    </row>
    <row r="176" spans="1:38" x14ac:dyDescent="0.2">
      <c r="A176" s="1"/>
      <c r="B176" s="1"/>
      <c r="C176" s="1"/>
      <c r="D176" s="1"/>
      <c r="E176" s="1"/>
      <c r="F176" s="1"/>
      <c r="G176" s="1"/>
      <c r="H176" s="1"/>
      <c r="I176" s="1"/>
      <c r="J176" s="1"/>
      <c r="K176" s="1"/>
      <c r="L176" s="1"/>
      <c r="M176" s="1"/>
      <c r="N176" s="1"/>
      <c r="O176" s="1"/>
      <c r="P176" s="1"/>
      <c r="Q176" s="559"/>
      <c r="S176" s="111" t="s">
        <v>229</v>
      </c>
      <c r="T176" s="112">
        <f>T175-100</f>
        <v>-10.625</v>
      </c>
      <c r="U176" s="112">
        <f>U175-100</f>
        <v>-10.625</v>
      </c>
      <c r="V176" s="112">
        <f>V175-100</f>
        <v>-10.625</v>
      </c>
      <c r="W176" s="112"/>
      <c r="X176" s="111" t="s">
        <v>229</v>
      </c>
      <c r="Y176" s="112">
        <f t="shared" ref="Y176:AD176" si="31">Y175-100</f>
        <v>-25</v>
      </c>
      <c r="Z176" s="112">
        <f t="shared" si="31"/>
        <v>-25</v>
      </c>
      <c r="AA176" s="112">
        <f t="shared" si="31"/>
        <v>-25</v>
      </c>
      <c r="AB176" s="112">
        <f t="shared" si="31"/>
        <v>-37.5</v>
      </c>
      <c r="AC176" s="112">
        <f t="shared" si="31"/>
        <v>-37.5</v>
      </c>
      <c r="AD176" s="112">
        <f t="shared" si="31"/>
        <v>-37.5</v>
      </c>
      <c r="AE176"/>
      <c r="AF176"/>
      <c r="AG176"/>
      <c r="AH176"/>
      <c r="AI176"/>
      <c r="AJ176"/>
      <c r="AK176"/>
      <c r="AL176"/>
    </row>
    <row r="177" spans="1:38" x14ac:dyDescent="0.2">
      <c r="A177" s="1"/>
      <c r="B177" s="1"/>
      <c r="C177" s="1"/>
      <c r="D177" s="1"/>
      <c r="E177" s="1"/>
      <c r="F177" s="1"/>
      <c r="G177" s="1"/>
      <c r="H177" s="1"/>
      <c r="I177" s="1"/>
      <c r="J177" s="1"/>
      <c r="K177" s="1"/>
      <c r="L177" s="1"/>
      <c r="M177" s="1"/>
      <c r="N177" s="1"/>
      <c r="O177" s="1"/>
      <c r="P177" s="1"/>
      <c r="Q177" s="559"/>
      <c r="S177" s="111" t="s">
        <v>230</v>
      </c>
      <c r="T177" s="112">
        <f>IF(T176&lt;0,T175,100)</f>
        <v>89.375</v>
      </c>
      <c r="U177" s="112">
        <f>IF(U176&lt;0,U175,100)</f>
        <v>89.375</v>
      </c>
      <c r="V177" s="112">
        <f>IF(V176&lt;0,V175,100)</f>
        <v>89.375</v>
      </c>
      <c r="W177" s="112"/>
      <c r="X177" s="111" t="s">
        <v>230</v>
      </c>
      <c r="Y177" s="112">
        <f t="shared" ref="Y177:AD177" si="32">IF(Y176&lt;0,Y175,100)</f>
        <v>75</v>
      </c>
      <c r="Z177" s="112">
        <f t="shared" si="32"/>
        <v>75</v>
      </c>
      <c r="AA177" s="112">
        <f t="shared" si="32"/>
        <v>75</v>
      </c>
      <c r="AB177" s="112">
        <f t="shared" si="32"/>
        <v>62.5</v>
      </c>
      <c r="AC177" s="112">
        <f t="shared" si="32"/>
        <v>62.5</v>
      </c>
      <c r="AD177" s="112">
        <f t="shared" si="32"/>
        <v>62.5</v>
      </c>
      <c r="AE177"/>
      <c r="AF177"/>
      <c r="AG177"/>
      <c r="AH177"/>
      <c r="AI177"/>
      <c r="AJ177"/>
      <c r="AK177"/>
      <c r="AL177"/>
    </row>
    <row r="178" spans="1:38" x14ac:dyDescent="0.2">
      <c r="A178" s="1"/>
      <c r="B178" s="1"/>
      <c r="C178" s="1"/>
      <c r="D178" s="1"/>
      <c r="E178" s="1"/>
      <c r="F178" s="1"/>
      <c r="G178" s="1"/>
      <c r="H178" s="1"/>
      <c r="I178" s="1"/>
      <c r="J178" s="1"/>
      <c r="K178" s="1"/>
      <c r="L178" s="1"/>
      <c r="M178" s="1"/>
      <c r="N178" s="1"/>
      <c r="O178" s="1"/>
      <c r="P178" s="1"/>
      <c r="Q178" s="559"/>
      <c r="S178" s="111" t="s">
        <v>231</v>
      </c>
      <c r="T178" s="112" t="e">
        <f>IF(T175&gt;100,T175-T177,NA())</f>
        <v>#N/A</v>
      </c>
      <c r="U178" s="112" t="e">
        <f>IF(U175&gt;100,U175-U177,NA())</f>
        <v>#N/A</v>
      </c>
      <c r="V178" s="112" t="e">
        <f>IF(V175&gt;100,V175-V177,NA())</f>
        <v>#N/A</v>
      </c>
      <c r="W178" s="112"/>
      <c r="X178" s="111" t="s">
        <v>231</v>
      </c>
      <c r="Y178" s="112" t="e">
        <f t="shared" ref="Y178:AD178" si="33">IF(Y175&gt;100,Y175-Y177,NA())</f>
        <v>#N/A</v>
      </c>
      <c r="Z178" s="112" t="e">
        <f t="shared" si="33"/>
        <v>#N/A</v>
      </c>
      <c r="AA178" s="112" t="e">
        <f t="shared" si="33"/>
        <v>#N/A</v>
      </c>
      <c r="AB178" s="112" t="e">
        <f t="shared" si="33"/>
        <v>#N/A</v>
      </c>
      <c r="AC178" s="112" t="e">
        <f t="shared" si="33"/>
        <v>#N/A</v>
      </c>
      <c r="AD178" s="112" t="e">
        <f t="shared" si="33"/>
        <v>#N/A</v>
      </c>
      <c r="AE178"/>
      <c r="AF178"/>
      <c r="AG178"/>
      <c r="AH178"/>
      <c r="AI178"/>
      <c r="AJ178"/>
      <c r="AK178"/>
      <c r="AL178"/>
    </row>
    <row r="179" spans="1:38" x14ac:dyDescent="0.2">
      <c r="A179" s="1"/>
      <c r="B179" s="1"/>
      <c r="C179" s="1"/>
      <c r="D179" s="1"/>
      <c r="E179" s="1"/>
      <c r="F179" s="1"/>
      <c r="G179" s="1"/>
      <c r="H179" s="1"/>
      <c r="I179" s="1"/>
      <c r="J179" s="1"/>
      <c r="K179" s="1"/>
      <c r="L179" s="1"/>
      <c r="M179" s="1"/>
      <c r="N179" s="1"/>
      <c r="O179" s="1"/>
      <c r="P179" s="1"/>
      <c r="Q179" s="559"/>
      <c r="S179" s="111"/>
      <c r="T179" s="112"/>
      <c r="U179" s="112"/>
      <c r="V179" s="112"/>
      <c r="W179" s="112"/>
      <c r="X179" s="111" t="s">
        <v>232</v>
      </c>
      <c r="Y179" s="112">
        <f>Data!$AC$13</f>
        <v>10</v>
      </c>
      <c r="Z179" s="112">
        <f>Data!$AC$13</f>
        <v>10</v>
      </c>
      <c r="AA179" s="112">
        <f>Data!$AC$13</f>
        <v>10</v>
      </c>
      <c r="AB179" s="112">
        <f>Data!$AC$13</f>
        <v>10</v>
      </c>
      <c r="AC179" s="112">
        <f>Data!$AC$13</f>
        <v>10</v>
      </c>
      <c r="AD179" s="112">
        <f>Data!$AC$13</f>
        <v>10</v>
      </c>
      <c r="AE179"/>
      <c r="AF179"/>
      <c r="AG179"/>
      <c r="AH179"/>
      <c r="AI179"/>
      <c r="AJ179"/>
      <c r="AK179"/>
      <c r="AL179"/>
    </row>
    <row r="180" spans="1:38" x14ac:dyDescent="0.2">
      <c r="A180" s="1"/>
      <c r="B180" s="1"/>
      <c r="C180" s="1"/>
      <c r="D180" s="1"/>
      <c r="E180" s="1"/>
      <c r="F180" s="1"/>
      <c r="G180" s="1"/>
      <c r="H180" s="1"/>
      <c r="I180" s="1"/>
      <c r="J180" s="1"/>
      <c r="K180" s="1"/>
      <c r="L180" s="1"/>
      <c r="M180" s="1"/>
      <c r="N180" s="1"/>
      <c r="O180" s="1"/>
      <c r="P180" s="1"/>
      <c r="Q180" s="559"/>
      <c r="S180" s="111"/>
      <c r="T180" s="112"/>
      <c r="U180" s="112"/>
      <c r="V180" s="112"/>
      <c r="W180" s="112"/>
      <c r="X180" s="111" t="s">
        <v>233</v>
      </c>
      <c r="Y180" s="113">
        <f>-'EU MDM-5000'!D170</f>
        <v>-6.3219035490848761</v>
      </c>
      <c r="Z180" s="113">
        <f>-'EU MDM-5000'!F170</f>
        <v>-6.3219035490848761</v>
      </c>
      <c r="AA180" s="113">
        <f>-'EU MDM-5000'!H170</f>
        <v>-6.3219035490848761</v>
      </c>
      <c r="AB180" s="113">
        <f>-'EU MDM-5000'!J170</f>
        <v>-4.6159930675857819</v>
      </c>
      <c r="AC180" s="113">
        <f>-'EU MDM-5000'!L170</f>
        <v>-4.6159930675857819</v>
      </c>
      <c r="AD180" s="113">
        <f>-'EU MDM-5000'!N170</f>
        <v>-4.6159930675857819</v>
      </c>
      <c r="AE180"/>
      <c r="AF180"/>
      <c r="AG180"/>
      <c r="AH180"/>
      <c r="AI180"/>
      <c r="AJ180"/>
      <c r="AK180"/>
      <c r="AL180"/>
    </row>
    <row r="181" spans="1:38" x14ac:dyDescent="0.2">
      <c r="A181" s="1"/>
      <c r="B181" s="1"/>
      <c r="C181" s="1"/>
      <c r="D181" s="1"/>
      <c r="E181" s="1"/>
      <c r="F181" s="1"/>
      <c r="G181" s="1"/>
      <c r="H181" s="1"/>
      <c r="I181" s="1"/>
      <c r="J181" s="1"/>
      <c r="K181" s="1"/>
      <c r="L181" s="1"/>
      <c r="M181" s="1"/>
      <c r="N181" s="1"/>
      <c r="O181" s="1"/>
      <c r="P181" s="1"/>
      <c r="Q181" s="559"/>
      <c r="S181" s="111"/>
      <c r="T181" s="112"/>
      <c r="U181" s="112"/>
      <c r="V181" s="112"/>
      <c r="W181" s="112"/>
      <c r="X181" s="111" t="s">
        <v>234</v>
      </c>
      <c r="Y181" s="112">
        <f t="shared" ref="Y181:AD181" si="34">IF(Y180&gt;-Y179,Y180,-Y179)</f>
        <v>-6.3219035490848761</v>
      </c>
      <c r="Z181" s="112">
        <f t="shared" si="34"/>
        <v>-6.3219035490848761</v>
      </c>
      <c r="AA181" s="112">
        <f t="shared" si="34"/>
        <v>-6.3219035490848761</v>
      </c>
      <c r="AB181" s="112">
        <f t="shared" si="34"/>
        <v>-4.6159930675857819</v>
      </c>
      <c r="AC181" s="112">
        <f t="shared" si="34"/>
        <v>-4.6159930675857819</v>
      </c>
      <c r="AD181" s="112">
        <f t="shared" si="34"/>
        <v>-4.6159930675857819</v>
      </c>
      <c r="AE181"/>
      <c r="AF181"/>
      <c r="AG181"/>
      <c r="AH181"/>
      <c r="AI181"/>
      <c r="AJ181"/>
      <c r="AK181"/>
      <c r="AL181"/>
    </row>
    <row r="182" spans="1:38" x14ac:dyDescent="0.2">
      <c r="A182" s="1"/>
      <c r="B182" s="1"/>
      <c r="C182" s="1"/>
      <c r="D182" s="1"/>
      <c r="E182" s="1"/>
      <c r="F182" s="1"/>
      <c r="G182" s="1"/>
      <c r="H182" s="1"/>
      <c r="I182" s="1"/>
      <c r="J182" s="1"/>
      <c r="K182" s="1"/>
      <c r="L182" s="1"/>
      <c r="M182" s="1"/>
      <c r="N182" s="1"/>
      <c r="O182" s="1"/>
      <c r="P182" s="1"/>
      <c r="Q182" s="559"/>
      <c r="S182" s="111"/>
      <c r="T182" s="112"/>
      <c r="U182" s="112"/>
      <c r="V182" s="112"/>
      <c r="W182" s="112"/>
      <c r="X182" s="111" t="s">
        <v>235</v>
      </c>
      <c r="Y182" s="112" t="e">
        <f t="shared" ref="Y182:AD182" si="35">IF(Y180&gt;-Y179,NA(),Y180+Y179)</f>
        <v>#N/A</v>
      </c>
      <c r="Z182" s="112" t="e">
        <f t="shared" si="35"/>
        <v>#N/A</v>
      </c>
      <c r="AA182" s="112" t="e">
        <f t="shared" si="35"/>
        <v>#N/A</v>
      </c>
      <c r="AB182" s="112" t="e">
        <f t="shared" si="35"/>
        <v>#N/A</v>
      </c>
      <c r="AC182" s="112" t="e">
        <f t="shared" si="35"/>
        <v>#N/A</v>
      </c>
      <c r="AD182" s="112" t="e">
        <f t="shared" si="35"/>
        <v>#N/A</v>
      </c>
      <c r="AE182"/>
      <c r="AF182"/>
      <c r="AG182"/>
      <c r="AH182"/>
      <c r="AI182"/>
      <c r="AJ182"/>
      <c r="AK182"/>
      <c r="AL182"/>
    </row>
    <row r="183" spans="1:38" x14ac:dyDescent="0.2">
      <c r="A183" s="1"/>
      <c r="B183" s="1"/>
      <c r="C183" s="1"/>
      <c r="D183" s="1"/>
      <c r="E183" s="1"/>
      <c r="F183" s="1"/>
      <c r="G183" s="1"/>
      <c r="H183" s="1"/>
      <c r="I183" s="1"/>
      <c r="J183" s="1"/>
      <c r="K183" s="1"/>
      <c r="L183" s="1"/>
      <c r="M183" s="1"/>
      <c r="N183" s="1"/>
      <c r="O183" s="1"/>
      <c r="P183" s="1"/>
      <c r="Q183" s="559"/>
      <c r="S183" s="111"/>
      <c r="T183" s="112"/>
      <c r="U183" s="112"/>
      <c r="V183" s="112"/>
      <c r="W183" s="112"/>
      <c r="X183" s="111"/>
      <c r="Y183" s="112"/>
      <c r="Z183" s="112"/>
      <c r="AA183" s="112"/>
      <c r="AB183" s="112"/>
      <c r="AC183" s="112"/>
      <c r="AD183" s="112"/>
      <c r="AE183"/>
      <c r="AF183"/>
      <c r="AG183"/>
      <c r="AH183"/>
      <c r="AI183"/>
      <c r="AJ183"/>
      <c r="AK183"/>
      <c r="AL183"/>
    </row>
    <row r="184" spans="1:38" x14ac:dyDescent="0.2">
      <c r="A184" s="1"/>
      <c r="B184" s="1"/>
      <c r="C184" s="1"/>
      <c r="D184" s="1"/>
      <c r="E184" s="1"/>
      <c r="F184" s="1"/>
      <c r="G184" s="1"/>
      <c r="H184" s="1"/>
      <c r="I184" s="1"/>
      <c r="J184" s="1"/>
      <c r="K184" s="1"/>
      <c r="L184" s="1"/>
      <c r="M184" s="1"/>
      <c r="N184" s="1"/>
      <c r="O184" s="1"/>
      <c r="P184" s="1"/>
      <c r="AE184"/>
      <c r="AF184"/>
      <c r="AG184"/>
      <c r="AH184"/>
      <c r="AI184"/>
      <c r="AJ184"/>
      <c r="AK184"/>
      <c r="AL184"/>
    </row>
    <row r="185" spans="1:38" ht="17" thickBot="1" x14ac:dyDescent="0.25">
      <c r="A185" s="1"/>
      <c r="B185" s="71" t="str">
        <f>Data!$T$1</f>
        <v>Meyer Sound Laboratories, Inc. Berkeley, California, USA                                 www.meyersound.com</v>
      </c>
      <c r="C185" s="1"/>
      <c r="D185" s="1"/>
      <c r="E185" s="1"/>
      <c r="F185" s="1"/>
      <c r="G185" s="1"/>
      <c r="H185" s="1"/>
      <c r="I185" s="1"/>
      <c r="J185" s="1"/>
      <c r="K185" s="1"/>
      <c r="L185" s="1"/>
      <c r="M185" s="1"/>
      <c r="N185" s="1"/>
      <c r="O185" s="1"/>
      <c r="P185" s="126" t="str">
        <f>Data!$G$1</f>
        <v>© 2021</v>
      </c>
      <c r="AE185"/>
      <c r="AF185"/>
      <c r="AG185"/>
      <c r="AH185"/>
      <c r="AI185"/>
      <c r="AJ185"/>
      <c r="AK185"/>
      <c r="AL185"/>
    </row>
    <row r="186" spans="1:38" x14ac:dyDescent="0.2">
      <c r="A186" s="133"/>
      <c r="B186" s="133"/>
      <c r="C186" s="133"/>
      <c r="D186" s="133"/>
      <c r="E186" s="133"/>
      <c r="F186" s="133"/>
      <c r="G186" s="133"/>
      <c r="H186" s="133"/>
      <c r="I186" s="133"/>
      <c r="J186" s="133"/>
      <c r="K186" s="133"/>
      <c r="L186" s="133"/>
      <c r="M186" s="133"/>
      <c r="N186" s="133"/>
      <c r="O186" s="163" t="str">
        <f>Data!$M$1</f>
        <v>06.257.005.01 C</v>
      </c>
      <c r="P186" s="133"/>
      <c r="T186"/>
      <c r="U186"/>
      <c r="V186"/>
      <c r="W186"/>
      <c r="X186"/>
      <c r="Y186"/>
      <c r="Z186"/>
      <c r="AA186"/>
      <c r="AB186"/>
      <c r="AC186"/>
      <c r="AD186"/>
      <c r="AE186"/>
      <c r="AF186"/>
      <c r="AG186"/>
      <c r="AH186"/>
      <c r="AI186"/>
      <c r="AJ186"/>
      <c r="AK186"/>
      <c r="AL186"/>
    </row>
    <row r="187" spans="1:38" x14ac:dyDescent="0.2">
      <c r="A187" s="1"/>
      <c r="B187" s="10" t="s">
        <v>192</v>
      </c>
      <c r="C187" s="1"/>
      <c r="D187" s="11" t="s">
        <v>166</v>
      </c>
      <c r="E187" s="138">
        <f>'Master EU'!$D$4</f>
        <v>230</v>
      </c>
      <c r="F187" s="11" t="s">
        <v>167</v>
      </c>
      <c r="G187" s="138">
        <f>'Master EU'!$G$4</f>
        <v>230</v>
      </c>
      <c r="H187" s="11" t="s">
        <v>168</v>
      </c>
      <c r="I187" s="332">
        <f>'Master EU'!$J$4</f>
        <v>230</v>
      </c>
      <c r="J187" s="570" t="s">
        <v>193</v>
      </c>
      <c r="K187" s="570"/>
      <c r="L187" s="335" t="s">
        <v>194</v>
      </c>
      <c r="M187" s="27"/>
      <c r="N187" s="31">
        <v>2.5</v>
      </c>
      <c r="O187" s="30" t="s">
        <v>107</v>
      </c>
      <c r="P187" s="1"/>
      <c r="T187"/>
      <c r="U187"/>
      <c r="V187"/>
      <c r="W187"/>
      <c r="X187"/>
      <c r="Y187"/>
      <c r="Z187"/>
      <c r="AA187"/>
      <c r="AB187"/>
      <c r="AC187"/>
      <c r="AD187"/>
      <c r="AE187"/>
      <c r="AF187"/>
      <c r="AG187"/>
      <c r="AH187"/>
      <c r="AI187"/>
      <c r="AJ187"/>
      <c r="AK187"/>
      <c r="AL187"/>
    </row>
    <row r="188" spans="1:38" ht="5" customHeight="1" x14ac:dyDescent="0.25">
      <c r="A188" s="1"/>
      <c r="B188" s="2"/>
      <c r="C188" s="1"/>
      <c r="D188" s="5"/>
      <c r="E188" s="40">
        <v>230</v>
      </c>
      <c r="F188" s="5"/>
      <c r="G188" s="40"/>
      <c r="H188" s="5"/>
      <c r="I188" s="8"/>
      <c r="J188" s="400">
        <f>(((D190)*E187)/1000)+(((F190)*G187)/1000)+(((H190)*I187)/1000)</f>
        <v>25.667999999999999</v>
      </c>
      <c r="K188" s="400" t="s">
        <v>196</v>
      </c>
      <c r="L188" s="1"/>
      <c r="M188" s="1"/>
      <c r="N188" s="1"/>
      <c r="O188" s="1"/>
      <c r="P188" s="1"/>
      <c r="T188"/>
      <c r="U188"/>
      <c r="V188"/>
      <c r="W188"/>
      <c r="X188"/>
      <c r="Y188"/>
      <c r="Z188"/>
      <c r="AA188"/>
      <c r="AB188"/>
      <c r="AC188"/>
      <c r="AD188"/>
      <c r="AE188"/>
      <c r="AF188"/>
      <c r="AG188"/>
      <c r="AH188"/>
      <c r="AI188"/>
      <c r="AJ188"/>
      <c r="AK188"/>
      <c r="AL188"/>
    </row>
    <row r="189" spans="1:38" ht="16" customHeight="1" x14ac:dyDescent="0.2">
      <c r="A189" s="1"/>
      <c r="B189" s="23" t="str">
        <f>_xlfn.TEXTJOIN("",FALSE,"MLTC + ",'Master EU'!D11,"%")</f>
        <v>MLTC + 30%</v>
      </c>
      <c r="C189" s="1"/>
      <c r="D189" s="25">
        <f>(D199+J199)*(1+('Master EU'!D11/100))</f>
        <v>28.6</v>
      </c>
      <c r="E189" s="41" t="str">
        <f>IF(D189&gt;Data!$AC$6,"&lt;OVER!","A RMS")</f>
        <v>A RMS</v>
      </c>
      <c r="F189" s="25">
        <f>(F199+L199)*(1+('Master EU'!D11/100))</f>
        <v>28.6</v>
      </c>
      <c r="G189" s="41" t="str">
        <f>IF(F189&gt;Data!$AC$6,"&lt;OVER!","A RMS")</f>
        <v>A RMS</v>
      </c>
      <c r="H189" s="25">
        <f>(H199+N199)*(1+('Master EU'!D11/100))</f>
        <v>28.6</v>
      </c>
      <c r="I189" s="333" t="str">
        <f>IF(H189&gt;Data!$AC$6,"&lt;OVER!","A RMS")</f>
        <v>A RMS</v>
      </c>
      <c r="J189" s="550" t="s">
        <v>197</v>
      </c>
      <c r="K189" s="551"/>
      <c r="L189" s="552"/>
      <c r="M189" s="562" t="str">
        <f>IF('EU MDM-5000'!S195&gt;0,"N O !","O K")</f>
        <v>O K</v>
      </c>
      <c r="N189" s="563"/>
      <c r="O189" s="568">
        <v>6</v>
      </c>
      <c r="P189" s="569"/>
      <c r="R189" s="109" t="s">
        <v>198</v>
      </c>
      <c r="T189"/>
      <c r="U189"/>
      <c r="V189"/>
      <c r="W189"/>
      <c r="X189"/>
      <c r="Y189"/>
      <c r="Z189"/>
      <c r="AA189"/>
      <c r="AB189"/>
      <c r="AC189"/>
      <c r="AD189"/>
      <c r="AE189"/>
      <c r="AF189"/>
      <c r="AG189"/>
      <c r="AH189"/>
      <c r="AI189"/>
      <c r="AJ189"/>
      <c r="AK189"/>
      <c r="AL189"/>
    </row>
    <row r="190" spans="1:38" ht="15" customHeight="1" x14ac:dyDescent="0.2">
      <c r="A190" s="1"/>
      <c r="B190" s="23" t="s">
        <v>199</v>
      </c>
      <c r="C190" s="1"/>
      <c r="D190" s="25">
        <f>D200+J200</f>
        <v>37.200000000000003</v>
      </c>
      <c r="E190" s="41" t="s">
        <v>116</v>
      </c>
      <c r="F190" s="25">
        <f>F200+L200</f>
        <v>37.200000000000003</v>
      </c>
      <c r="G190" s="41" t="s">
        <v>116</v>
      </c>
      <c r="H190" s="25">
        <f>H200+N200</f>
        <v>37.200000000000003</v>
      </c>
      <c r="I190" s="333" t="s">
        <v>116</v>
      </c>
      <c r="J190" s="551"/>
      <c r="K190" s="551"/>
      <c r="L190" s="552"/>
      <c r="M190" s="564"/>
      <c r="N190" s="565"/>
      <c r="O190" s="568"/>
      <c r="P190" s="569"/>
      <c r="R190" s="109" t="s">
        <v>162</v>
      </c>
      <c r="S190" s="109">
        <f>IF(OR('EU MDM-5000'!D189&gt;Data!$AC$6,'EU MDM-5000'!F189&gt;Data!$AC$6,'EU MDM-5000'!H189&gt;Data!$AC$6),1,0)</f>
        <v>0</v>
      </c>
      <c r="T190"/>
      <c r="U190"/>
      <c r="V190"/>
      <c r="W190"/>
      <c r="X190"/>
      <c r="Y190"/>
      <c r="Z190"/>
      <c r="AA190"/>
      <c r="AB190"/>
      <c r="AC190"/>
      <c r="AD190"/>
      <c r="AE190"/>
      <c r="AF190"/>
      <c r="AG190"/>
      <c r="AH190"/>
      <c r="AI190"/>
      <c r="AJ190"/>
      <c r="AK190"/>
      <c r="AL190"/>
    </row>
    <row r="191" spans="1:38" ht="15" customHeight="1" x14ac:dyDescent="0.2">
      <c r="A191" s="1"/>
      <c r="B191" s="24" t="s">
        <v>200</v>
      </c>
      <c r="C191" s="1"/>
      <c r="D191" s="26">
        <f>D201+J201</f>
        <v>87.199999999999989</v>
      </c>
      <c r="E191" s="42" t="s">
        <v>117</v>
      </c>
      <c r="F191" s="26">
        <f>F201+L201</f>
        <v>87.199999999999989</v>
      </c>
      <c r="G191" s="42" t="s">
        <v>117</v>
      </c>
      <c r="H191" s="26">
        <f>H201+N201</f>
        <v>87.199999999999989</v>
      </c>
      <c r="I191" s="334" t="s">
        <v>117</v>
      </c>
      <c r="J191" s="551"/>
      <c r="K191" s="551"/>
      <c r="L191" s="552"/>
      <c r="M191" s="566"/>
      <c r="N191" s="567"/>
      <c r="O191" s="568"/>
      <c r="P191" s="569"/>
      <c r="R191" s="109" t="s">
        <v>201</v>
      </c>
      <c r="S191" s="109">
        <f>IF(OR('EU MDM-5000'!D199&gt;Data!$AC$7,'EU MDM-5000'!F199&gt;Data!$AC$7,'EU MDM-5000'!H199&gt;Data!$AC$7,'EU MDM-5000'!J199&gt;Data!$AC$7,'EU MDM-5000'!L199&gt;Data!$AC$7,'EU MDM-5000'!N199&gt;Data!$AC$7),1,0)</f>
        <v>0</v>
      </c>
      <c r="T191"/>
      <c r="U191"/>
      <c r="V191"/>
      <c r="W191"/>
      <c r="X191"/>
      <c r="Y191"/>
      <c r="Z191"/>
      <c r="AA191"/>
      <c r="AB191"/>
      <c r="AC191"/>
      <c r="AD191"/>
      <c r="AE191"/>
      <c r="AF191"/>
      <c r="AG191"/>
      <c r="AH191"/>
      <c r="AI191"/>
      <c r="AJ191"/>
      <c r="AK191"/>
      <c r="AL191"/>
    </row>
    <row r="192" spans="1:38" ht="8" customHeight="1" thickBot="1" x14ac:dyDescent="0.25">
      <c r="A192" s="1"/>
      <c r="B192" s="1"/>
      <c r="C192" s="1"/>
      <c r="D192" s="1"/>
      <c r="E192" s="1"/>
      <c r="F192" s="1"/>
      <c r="G192" s="1"/>
      <c r="H192" s="1"/>
      <c r="I192" s="1"/>
      <c r="J192" s="1"/>
      <c r="K192" s="1"/>
      <c r="L192" s="1"/>
      <c r="M192" s="1"/>
      <c r="N192" s="1"/>
      <c r="O192" s="1"/>
      <c r="P192" s="1"/>
      <c r="R192" s="109" t="s">
        <v>202</v>
      </c>
      <c r="S192" s="109">
        <f>IF(OR('EU MDM-5000'!D201&gt;Data!$AC$8,'EU MDM-5000'!F201&gt;Data!$AC$8,'EU MDM-5000'!H201&gt;Data!$AC$8,'EU MDM-5000'!J201&gt;Data!$AC$8,'EU MDM-5000'!L201&gt;Data!$AC$8,'EU MDM-5000'!N201&gt;Data!$AC$8),1,0)</f>
        <v>0</v>
      </c>
      <c r="T192"/>
      <c r="U192"/>
      <c r="V192"/>
      <c r="W192"/>
      <c r="X192"/>
      <c r="Y192"/>
      <c r="Z192"/>
      <c r="AA192"/>
      <c r="AB192"/>
      <c r="AC192"/>
      <c r="AD192"/>
      <c r="AE192"/>
      <c r="AF192"/>
      <c r="AG192"/>
      <c r="AH192"/>
      <c r="AI192"/>
      <c r="AJ192"/>
      <c r="AK192"/>
      <c r="AL192"/>
    </row>
    <row r="193" spans="1:38" x14ac:dyDescent="0.2">
      <c r="A193" s="1"/>
      <c r="B193" s="10" t="s">
        <v>203</v>
      </c>
      <c r="C193" s="1"/>
      <c r="D193" s="560">
        <v>1</v>
      </c>
      <c r="E193" s="561"/>
      <c r="F193" s="553">
        <v>2</v>
      </c>
      <c r="G193" s="561"/>
      <c r="H193" s="553">
        <v>3</v>
      </c>
      <c r="I193" s="561"/>
      <c r="J193" s="553">
        <v>4</v>
      </c>
      <c r="K193" s="561"/>
      <c r="L193" s="553">
        <v>5</v>
      </c>
      <c r="M193" s="561"/>
      <c r="N193" s="553">
        <v>6</v>
      </c>
      <c r="O193" s="554"/>
      <c r="P193" s="1"/>
      <c r="R193" s="109" t="s">
        <v>204</v>
      </c>
      <c r="S193" s="109">
        <f>IF(OR('EU MDM-5000'!D207&gt;Data!$AC$13,'EU MDM-5000'!F207&gt;Data!$AC$13,'EU MDM-5000'!H207&gt;Data!$AC$13,'EU MDM-5000'!J207&gt;Data!$AC$13,'EU MDM-5000'!L207&gt;Data!$AC$13,'EU MDM-5000'!N207&gt;Data!$AC$13),1,0)</f>
        <v>0</v>
      </c>
      <c r="T193"/>
      <c r="U193"/>
      <c r="V193"/>
      <c r="W193"/>
      <c r="X193"/>
      <c r="Y193"/>
      <c r="Z193"/>
      <c r="AA193"/>
      <c r="AB193"/>
      <c r="AC193"/>
      <c r="AD193"/>
      <c r="AE193"/>
      <c r="AF193"/>
      <c r="AG193"/>
      <c r="AH193"/>
      <c r="AI193"/>
      <c r="AJ193"/>
      <c r="AK193"/>
      <c r="AL193"/>
    </row>
    <row r="194" spans="1:38" x14ac:dyDescent="0.2">
      <c r="A194" s="1"/>
      <c r="B194" s="23" t="s">
        <v>205</v>
      </c>
      <c r="C194" s="1"/>
      <c r="D194" s="32" t="s">
        <v>236</v>
      </c>
      <c r="E194" s="33">
        <v>8</v>
      </c>
      <c r="F194" s="34" t="s">
        <v>236</v>
      </c>
      <c r="G194" s="33">
        <v>8</v>
      </c>
      <c r="H194" s="34" t="s">
        <v>236</v>
      </c>
      <c r="I194" s="33">
        <v>8</v>
      </c>
      <c r="J194" s="34" t="s">
        <v>237</v>
      </c>
      <c r="K194" s="33">
        <v>4</v>
      </c>
      <c r="L194" s="34" t="s">
        <v>237</v>
      </c>
      <c r="M194" s="33">
        <v>4</v>
      </c>
      <c r="N194" s="34" t="s">
        <v>237</v>
      </c>
      <c r="O194" s="35">
        <v>4</v>
      </c>
      <c r="P194" s="1"/>
      <c r="T194"/>
      <c r="U194"/>
      <c r="V194"/>
      <c r="W194"/>
      <c r="X194"/>
      <c r="Y194"/>
      <c r="Z194"/>
      <c r="AA194"/>
      <c r="AB194"/>
      <c r="AC194"/>
      <c r="AD194"/>
      <c r="AE194"/>
      <c r="AF194"/>
      <c r="AG194"/>
      <c r="AH194"/>
      <c r="AI194"/>
      <c r="AJ194"/>
      <c r="AK194"/>
      <c r="AL194"/>
    </row>
    <row r="195" spans="1:38" x14ac:dyDescent="0.2">
      <c r="A195" s="1"/>
      <c r="B195" s="23" t="s">
        <v>205</v>
      </c>
      <c r="C195" s="1"/>
      <c r="D195" s="36" t="s">
        <v>127</v>
      </c>
      <c r="E195" s="33">
        <v>0</v>
      </c>
      <c r="F195" s="37" t="s">
        <v>127</v>
      </c>
      <c r="G195" s="33">
        <v>0</v>
      </c>
      <c r="H195" s="37" t="s">
        <v>127</v>
      </c>
      <c r="I195" s="33">
        <v>0</v>
      </c>
      <c r="J195" s="37" t="s">
        <v>127</v>
      </c>
      <c r="K195" s="33">
        <v>0</v>
      </c>
      <c r="L195" s="37" t="s">
        <v>127</v>
      </c>
      <c r="M195" s="33">
        <v>0</v>
      </c>
      <c r="N195" s="37" t="s">
        <v>127</v>
      </c>
      <c r="O195" s="35">
        <v>0</v>
      </c>
      <c r="P195" s="1"/>
      <c r="R195" s="109" t="s">
        <v>208</v>
      </c>
      <c r="S195" s="109">
        <f>SUM(S190:S193)</f>
        <v>0</v>
      </c>
      <c r="T195"/>
      <c r="U195"/>
      <c r="V195"/>
      <c r="W195"/>
      <c r="X195"/>
      <c r="Y195"/>
      <c r="Z195"/>
      <c r="AA195"/>
      <c r="AB195"/>
      <c r="AC195"/>
      <c r="AD195"/>
      <c r="AE195">
        <f t="shared" ref="AE195:AJ196" si="36">IF(OR(AND($D194=AE$1,$E194&gt;0),AND($F194=AE$1,$G194&gt;0),AND($H194=AE$1,$I194&gt;0),AND($J194=AE$1,$K194&gt;0),AND($L194=AE$1,$M194&gt;0),AND($N194=AE$1,$O194&gt;0)),1,0)</f>
        <v>0</v>
      </c>
      <c r="AF195">
        <f t="shared" si="36"/>
        <v>0</v>
      </c>
      <c r="AG195">
        <f t="shared" si="36"/>
        <v>0</v>
      </c>
      <c r="AH195">
        <f t="shared" si="36"/>
        <v>0</v>
      </c>
      <c r="AI195">
        <f t="shared" si="36"/>
        <v>0</v>
      </c>
      <c r="AJ195">
        <f t="shared" si="36"/>
        <v>0</v>
      </c>
      <c r="AK195"/>
      <c r="AL195"/>
    </row>
    <row r="196" spans="1:38" x14ac:dyDescent="0.2">
      <c r="A196" s="1"/>
      <c r="B196" s="23" t="s">
        <v>121</v>
      </c>
      <c r="C196" s="1"/>
      <c r="D196" s="38">
        <v>30</v>
      </c>
      <c r="E196" s="29" t="s">
        <v>209</v>
      </c>
      <c r="F196" s="39">
        <v>30</v>
      </c>
      <c r="G196" s="29" t="s">
        <v>209</v>
      </c>
      <c r="H196" s="39">
        <v>30</v>
      </c>
      <c r="I196" s="29" t="s">
        <v>209</v>
      </c>
      <c r="J196" s="39">
        <v>30</v>
      </c>
      <c r="K196" s="29" t="s">
        <v>209</v>
      </c>
      <c r="L196" s="39">
        <v>30</v>
      </c>
      <c r="M196" s="29" t="s">
        <v>209</v>
      </c>
      <c r="N196" s="39">
        <v>30</v>
      </c>
      <c r="O196" s="28" t="s">
        <v>209</v>
      </c>
      <c r="P196" s="1"/>
      <c r="T196"/>
      <c r="U196"/>
      <c r="V196"/>
      <c r="W196"/>
      <c r="X196"/>
      <c r="Y196"/>
      <c r="Z196"/>
      <c r="AA196"/>
      <c r="AB196"/>
      <c r="AC196"/>
      <c r="AD196"/>
      <c r="AE196">
        <f t="shared" si="36"/>
        <v>0</v>
      </c>
      <c r="AF196">
        <f t="shared" si="36"/>
        <v>0</v>
      </c>
      <c r="AG196">
        <f t="shared" si="36"/>
        <v>0</v>
      </c>
      <c r="AH196">
        <f t="shared" si="36"/>
        <v>0</v>
      </c>
      <c r="AI196">
        <f t="shared" si="36"/>
        <v>0</v>
      </c>
      <c r="AJ196">
        <f t="shared" si="36"/>
        <v>0</v>
      </c>
      <c r="AK196"/>
      <c r="AL196"/>
    </row>
    <row r="197" spans="1:38" ht="11" customHeight="1" x14ac:dyDescent="0.2">
      <c r="A197" s="1"/>
      <c r="B197" s="2"/>
      <c r="C197" s="1"/>
      <c r="D197" s="555" t="s">
        <v>210</v>
      </c>
      <c r="E197" s="556"/>
      <c r="F197" s="556"/>
      <c r="G197" s="556"/>
      <c r="H197" s="556"/>
      <c r="I197" s="556"/>
      <c r="J197" s="557" t="s">
        <v>210</v>
      </c>
      <c r="K197" s="556"/>
      <c r="L197" s="556"/>
      <c r="M197" s="556"/>
      <c r="N197" s="556"/>
      <c r="O197" s="558"/>
      <c r="P197" s="1"/>
      <c r="T197"/>
      <c r="U197"/>
      <c r="V197"/>
      <c r="W197"/>
      <c r="X197"/>
      <c r="Y197"/>
      <c r="Z197"/>
      <c r="AA197"/>
      <c r="AB197"/>
      <c r="AC197"/>
      <c r="AD197"/>
      <c r="AE197"/>
      <c r="AF197"/>
      <c r="AG197"/>
      <c r="AH197"/>
      <c r="AI197"/>
      <c r="AJ197"/>
      <c r="AK197"/>
      <c r="AL197"/>
    </row>
    <row r="198" spans="1:38" ht="6" customHeight="1" x14ac:dyDescent="0.2">
      <c r="A198" s="1"/>
      <c r="B198" s="2"/>
      <c r="C198" s="1"/>
      <c r="D198" s="3"/>
      <c r="E198" s="4"/>
      <c r="F198" s="5"/>
      <c r="G198" s="4"/>
      <c r="H198" s="5"/>
      <c r="I198" s="4"/>
      <c r="J198" s="5"/>
      <c r="K198" s="4"/>
      <c r="L198" s="5"/>
      <c r="M198" s="4"/>
      <c r="N198" s="5"/>
      <c r="O198" s="6"/>
      <c r="P198" s="1"/>
      <c r="T198"/>
      <c r="U198"/>
      <c r="V198"/>
      <c r="W198"/>
      <c r="X198"/>
      <c r="Y198"/>
      <c r="Z198"/>
      <c r="AA198"/>
      <c r="AB198"/>
      <c r="AC198"/>
      <c r="AD198"/>
      <c r="AE198"/>
      <c r="AF198"/>
      <c r="AG198"/>
      <c r="AH198"/>
      <c r="AI198"/>
      <c r="AJ198"/>
      <c r="AK198"/>
      <c r="AL198"/>
    </row>
    <row r="199" spans="1:38" x14ac:dyDescent="0.2">
      <c r="A199" s="1"/>
      <c r="B199" s="23" t="s">
        <v>211</v>
      </c>
      <c r="C199" s="1"/>
      <c r="D199" s="12">
        <f>(((VLOOKUP($D194,Data!$R$4:$U$69,2,FALSE)*$E194)+(VLOOKUP($D195,Data!$R$4:$U$69,2,FALSE)*$E195))/E187)*Data!$R$3</f>
        <v>12</v>
      </c>
      <c r="E199" s="13" t="str">
        <f>IF(D199&gt;Data!$AC$7,"&lt;OVER!","A RMS")</f>
        <v>A RMS</v>
      </c>
      <c r="F199" s="14">
        <f>(((VLOOKUP($F194,Data!$R$4:$U$69,2,FALSE)*$G194)+(VLOOKUP($F195,Data!$R$4:$U$69,2,FALSE)*$G195))/G187)*Data!$R$3</f>
        <v>12</v>
      </c>
      <c r="G199" s="13" t="str">
        <f>IF(F199&gt;Data!$AC$7,"&lt;OVER!","A RMS")</f>
        <v>A RMS</v>
      </c>
      <c r="H199" s="14">
        <f>(((VLOOKUP($H194,Data!$R$4:$U$69,2,FALSE)*$I194)+(VLOOKUP($H195,Data!$R$4:$U$69,2,FALSE)*$I195))/I187)*Data!$R$3</f>
        <v>12</v>
      </c>
      <c r="I199" s="13" t="str">
        <f>IF(H199&gt;Data!$AC$7,"&lt;OVER!","A RMS")</f>
        <v>A RMS</v>
      </c>
      <c r="J199" s="14">
        <f>(((VLOOKUP($J194,Data!$R$4:$U$69,2,FALSE)*$K194)+(VLOOKUP($J195,Data!$R$4:$U$69,2,FALSE)*$K195))/E187)*Data!$R$3</f>
        <v>10</v>
      </c>
      <c r="K199" s="13" t="str">
        <f>IF(J199&gt;Data!$AC$7,"&lt;OVER!","A RMS")</f>
        <v>A RMS</v>
      </c>
      <c r="L199" s="14">
        <f>(((VLOOKUP($L194,Data!$R$4:$U$69,2,FALSE)*$M194)+(VLOOKUP($L195,Data!$R$4:$U$69,2,FALSE)*$M195))/G187)*Data!$R$3</f>
        <v>10</v>
      </c>
      <c r="M199" s="13" t="str">
        <f>IF(L199&gt;Data!$AC$7,"&lt;OVER!","A RMS")</f>
        <v>A RMS</v>
      </c>
      <c r="N199" s="14">
        <f>(((VLOOKUP($N194,Data!$R$4:$U$69,2,FALSE)*$O194)+(VLOOKUP($N195,Data!$R$4:$U$69,2,FALSE)*$O195))/I187)*Data!$R$3</f>
        <v>10</v>
      </c>
      <c r="O199" s="15" t="str">
        <f>IF(N199&gt;Data!$AC$7,"&lt;OVER!","A RMS")</f>
        <v>A RMS</v>
      </c>
      <c r="P199" s="1"/>
      <c r="T199"/>
      <c r="U199"/>
      <c r="V199"/>
      <c r="W199"/>
      <c r="X199"/>
      <c r="Y199"/>
      <c r="Z199"/>
      <c r="AA199"/>
      <c r="AB199"/>
      <c r="AC199"/>
      <c r="AD199"/>
      <c r="AE199"/>
      <c r="AF199"/>
      <c r="AG199"/>
      <c r="AH199"/>
      <c r="AI199"/>
      <c r="AJ199"/>
      <c r="AK199"/>
      <c r="AL199"/>
    </row>
    <row r="200" spans="1:38" x14ac:dyDescent="0.2">
      <c r="A200" s="1"/>
      <c r="B200" s="23" t="s">
        <v>199</v>
      </c>
      <c r="C200" s="1"/>
      <c r="D200" s="12">
        <f>(((VLOOKUP($D194,Data!$R$4:$U$69,3,FALSE)*$E194)+(VLOOKUP($D195,Data!$R$4:$U$69,3,FALSE)*$E195))/E187)*Data!$R$3</f>
        <v>18.399999999999999</v>
      </c>
      <c r="E200" s="13" t="s">
        <v>116</v>
      </c>
      <c r="F200" s="14">
        <f>(((VLOOKUP($F194,Data!$R$4:$U$69,3,FALSE)*$G194)+(VLOOKUP($F195,Data!$R$4:$U$69,3,FALSE)*$G195))/G187)*Data!$R$3</f>
        <v>18.399999999999999</v>
      </c>
      <c r="G200" s="13" t="s">
        <v>116</v>
      </c>
      <c r="H200" s="14">
        <f>(((VLOOKUP($H194,Data!$R$4:$U$69,3,FALSE)*$I194)+(VLOOKUP($H195,Data!$R$4:$U$69,3,FALSE)*$I195))/I187)*Data!$R$3</f>
        <v>18.399999999999999</v>
      </c>
      <c r="I200" s="13" t="s">
        <v>116</v>
      </c>
      <c r="J200" s="14">
        <f>(((VLOOKUP($J194,Data!$R$4:$U$69,3,FALSE)*$K194)+(VLOOKUP($J195,Data!$R$4:$U$69,3,FALSE)*$K195))/E187)*Data!$R$3</f>
        <v>18.8</v>
      </c>
      <c r="K200" s="13" t="s">
        <v>116</v>
      </c>
      <c r="L200" s="14">
        <f>(((VLOOKUP($L194,Data!$R$4:$U$69,3,FALSE)*$M194)+(VLOOKUP($L195,Data!$R$4:$U$69,3,FALSE)*$M195))/G187)*Data!$R$3</f>
        <v>18.8</v>
      </c>
      <c r="M200" s="13" t="s">
        <v>116</v>
      </c>
      <c r="N200" s="14">
        <f>(((VLOOKUP($N194,Data!$R$4:$U$69,3,FALSE)*$O194)+(VLOOKUP($N195,Data!$R$4:$U$69,3,FALSE)*$O195))/I187)*Data!$R$3</f>
        <v>18.8</v>
      </c>
      <c r="O200" s="15" t="s">
        <v>116</v>
      </c>
      <c r="P200" s="1"/>
      <c r="T200"/>
      <c r="U200"/>
      <c r="V200"/>
      <c r="W200"/>
      <c r="X200"/>
      <c r="Y200"/>
      <c r="Z200"/>
      <c r="AA200"/>
      <c r="AB200"/>
      <c r="AC200"/>
      <c r="AD200"/>
      <c r="AE200"/>
      <c r="AF200"/>
      <c r="AG200"/>
      <c r="AH200"/>
      <c r="AI200"/>
      <c r="AJ200"/>
      <c r="AK200"/>
      <c r="AL200"/>
    </row>
    <row r="201" spans="1:38" x14ac:dyDescent="0.2">
      <c r="A201" s="1"/>
      <c r="B201" s="23" t="s">
        <v>200</v>
      </c>
      <c r="C201" s="1"/>
      <c r="D201" s="12">
        <f>(((VLOOKUP($D194,Data!$R$4:$U$69,4,FALSE)*$E194)+(VLOOKUP($D195,Data!$R$4:$U$69,4,FALSE)*$E195))/E187)*Data!$R$3</f>
        <v>50.4</v>
      </c>
      <c r="E201" s="13" t="str">
        <f>IF(D201&gt;Data!$AC$8,"&lt;OVER!","A Pk")</f>
        <v>A Pk</v>
      </c>
      <c r="F201" s="14">
        <f>(((VLOOKUP($F194,Data!$R$4:$U$69,4,FALSE)*$G194)+(VLOOKUP($F195,Data!$R$4:$U$69,4,FALSE)*$G195))/G187)*Data!$R$3</f>
        <v>50.4</v>
      </c>
      <c r="G201" s="13" t="str">
        <f>IF(F201&gt;Data!$AC$8,"&lt;OVER!","A Pk")</f>
        <v>A Pk</v>
      </c>
      <c r="H201" s="14">
        <f>(((VLOOKUP($H194,Data!$R$4:$U$69,4,FALSE)*$I194)+(VLOOKUP($H195,Data!$R$4:$U$69,4,FALSE)*$I195))/I187)*Data!$R$3</f>
        <v>50.4</v>
      </c>
      <c r="I201" s="13" t="str">
        <f>IF(H201&gt;Data!$AC$8,"&lt;OVER!","A Pk")</f>
        <v>A Pk</v>
      </c>
      <c r="J201" s="14">
        <f>(((VLOOKUP($J194,Data!$R$4:$U$69,4,FALSE)*$K194)+(VLOOKUP($J195,Data!$R$4:$U$69,4,FALSE)*$K195))/E187)*Data!$R$3</f>
        <v>36.799999999999997</v>
      </c>
      <c r="K201" s="13" t="str">
        <f>IF(J201&gt;Data!$AC$8,"&lt;OVER!","A Pk")</f>
        <v>A Pk</v>
      </c>
      <c r="L201" s="14">
        <f>(((VLOOKUP($L194,Data!$R$4:$U$69,4,FALSE)*$M194)+(VLOOKUP($L195,Data!$R$4:$U$69,4,FALSE)*$M195))/G187)*Data!$R$3</f>
        <v>36.799999999999997</v>
      </c>
      <c r="M201" s="13" t="str">
        <f>IF(L201&gt;Data!$AC$8,"&lt;OVER!","A Pk")</f>
        <v>A Pk</v>
      </c>
      <c r="N201" s="14">
        <f>(((VLOOKUP($N194,Data!$R$4:$U$69,4,FALSE)*$O194)+(VLOOKUP($N195,Data!$R$4:$U$69,4,FALSE)*$O195))/I187)*Data!$R$3</f>
        <v>36.799999999999997</v>
      </c>
      <c r="O201" s="15" t="str">
        <f>IF(N201&gt;Data!$AC$8,"&lt;OVER!","A Pk")</f>
        <v>A Pk</v>
      </c>
      <c r="P201" s="1"/>
      <c r="T201"/>
      <c r="U201"/>
      <c r="V201"/>
      <c r="W201"/>
      <c r="X201"/>
      <c r="Y201"/>
      <c r="Z201"/>
      <c r="AA201"/>
      <c r="AB201"/>
      <c r="AC201"/>
      <c r="AD201"/>
      <c r="AE201"/>
      <c r="AF201"/>
      <c r="AG201"/>
      <c r="AH201"/>
      <c r="AI201"/>
      <c r="AJ201"/>
      <c r="AK201"/>
      <c r="AL201"/>
    </row>
    <row r="202" spans="1:38" ht="6" customHeight="1" x14ac:dyDescent="0.2">
      <c r="A202" s="1"/>
      <c r="B202" s="23"/>
      <c r="C202" s="1"/>
      <c r="D202" s="12"/>
      <c r="E202" s="16"/>
      <c r="F202" s="14"/>
      <c r="G202" s="16"/>
      <c r="H202" s="14"/>
      <c r="I202" s="16"/>
      <c r="J202" s="14"/>
      <c r="K202" s="16"/>
      <c r="L202" s="14"/>
      <c r="M202" s="16"/>
      <c r="N202" s="14"/>
      <c r="O202" s="15"/>
      <c r="P202" s="1"/>
      <c r="AE202"/>
      <c r="AF202"/>
      <c r="AG202"/>
      <c r="AH202"/>
      <c r="AI202"/>
      <c r="AJ202"/>
      <c r="AK202"/>
      <c r="AL202"/>
    </row>
    <row r="203" spans="1:38" x14ac:dyDescent="0.2">
      <c r="A203" s="1"/>
      <c r="B203" s="23" t="s">
        <v>212</v>
      </c>
      <c r="C203" s="1"/>
      <c r="D203" s="17">
        <f>(17*(10^-8))*((2*D196)/($N$187*(10^-5)))</f>
        <v>0.40800000000000003</v>
      </c>
      <c r="E203" s="16" t="s">
        <v>213</v>
      </c>
      <c r="F203" s="18">
        <f>(17*(10^-8))*((2*F196)/($N$187*(10^-5)))</f>
        <v>0.40800000000000003</v>
      </c>
      <c r="G203" s="16" t="s">
        <v>213</v>
      </c>
      <c r="H203" s="18">
        <f>(17*(10^-8))*((2*H196)/($N$187*(10^-5)))</f>
        <v>0.40800000000000003</v>
      </c>
      <c r="I203" s="16" t="s">
        <v>213</v>
      </c>
      <c r="J203" s="18">
        <f>(17*(10^-8))*((2*J196)/($N$187*(10^-5)))</f>
        <v>0.40800000000000003</v>
      </c>
      <c r="K203" s="16" t="s">
        <v>213</v>
      </c>
      <c r="L203" s="18">
        <f>(17*(10^-8))*((2*L196)/($N$187*(10^-5)))</f>
        <v>0.40800000000000003</v>
      </c>
      <c r="M203" s="16" t="s">
        <v>213</v>
      </c>
      <c r="N203" s="18">
        <f>(17*(10^-8))*((2*N196)/($N$187*(10^-5)))</f>
        <v>0.40800000000000003</v>
      </c>
      <c r="O203" s="15" t="s">
        <v>213</v>
      </c>
      <c r="P203" s="1"/>
      <c r="AE203"/>
      <c r="AF203"/>
      <c r="AG203"/>
      <c r="AH203"/>
      <c r="AI203"/>
      <c r="AJ203"/>
      <c r="AK203"/>
      <c r="AL203"/>
    </row>
    <row r="204" spans="1:38" x14ac:dyDescent="0.2">
      <c r="A204" s="1"/>
      <c r="B204" s="23" t="s">
        <v>214</v>
      </c>
      <c r="C204" s="1"/>
      <c r="D204" s="19">
        <f>E187*SQRT(2)</f>
        <v>325.26911934581187</v>
      </c>
      <c r="E204" s="16" t="s">
        <v>215</v>
      </c>
      <c r="F204" s="20">
        <f>G187*SQRT(2)</f>
        <v>325.26911934581187</v>
      </c>
      <c r="G204" s="16" t="s">
        <v>215</v>
      </c>
      <c r="H204" s="20">
        <f>I187*SQRT(2)</f>
        <v>325.26911934581187</v>
      </c>
      <c r="I204" s="16" t="s">
        <v>215</v>
      </c>
      <c r="J204" s="20">
        <f>E187*SQRT(2)</f>
        <v>325.26911934581187</v>
      </c>
      <c r="K204" s="16" t="s">
        <v>215</v>
      </c>
      <c r="L204" s="20">
        <f>G187*SQRT(2)</f>
        <v>325.26911934581187</v>
      </c>
      <c r="M204" s="16" t="s">
        <v>215</v>
      </c>
      <c r="N204" s="20">
        <f>I187*SQRT(2)</f>
        <v>325.26911934581187</v>
      </c>
      <c r="O204" s="15" t="s">
        <v>215</v>
      </c>
      <c r="P204" s="1"/>
      <c r="Q204" s="559" t="s">
        <v>216</v>
      </c>
      <c r="S204" s="111"/>
      <c r="T204" s="112" t="s">
        <v>166</v>
      </c>
      <c r="U204" s="112" t="s">
        <v>167</v>
      </c>
      <c r="V204" s="112" t="s">
        <v>168</v>
      </c>
      <c r="W204" s="112"/>
      <c r="X204" s="111"/>
      <c r="Y204" s="112" t="s">
        <v>217</v>
      </c>
      <c r="Z204" s="112" t="s">
        <v>218</v>
      </c>
      <c r="AA204" s="112" t="s">
        <v>219</v>
      </c>
      <c r="AB204" s="112" t="s">
        <v>220</v>
      </c>
      <c r="AC204" s="112" t="s">
        <v>221</v>
      </c>
      <c r="AD204" s="112" t="s">
        <v>222</v>
      </c>
      <c r="AE204"/>
      <c r="AF204"/>
      <c r="AG204"/>
      <c r="AH204"/>
      <c r="AI204"/>
      <c r="AJ204"/>
      <c r="AK204"/>
      <c r="AL204"/>
    </row>
    <row r="205" spans="1:38" x14ac:dyDescent="0.2">
      <c r="A205" s="1"/>
      <c r="B205" s="23" t="s">
        <v>223</v>
      </c>
      <c r="C205" s="1"/>
      <c r="D205" s="12">
        <f>D201*D203</f>
        <v>20.563200000000002</v>
      </c>
      <c r="E205" s="16" t="s">
        <v>215</v>
      </c>
      <c r="F205" s="14">
        <f>F201*F203</f>
        <v>20.563200000000002</v>
      </c>
      <c r="G205" s="16" t="s">
        <v>215</v>
      </c>
      <c r="H205" s="14">
        <f>H201*H203</f>
        <v>20.563200000000002</v>
      </c>
      <c r="I205" s="16" t="s">
        <v>215</v>
      </c>
      <c r="J205" s="14">
        <f>J201*J203</f>
        <v>15.0144</v>
      </c>
      <c r="K205" s="16" t="s">
        <v>215</v>
      </c>
      <c r="L205" s="14">
        <f>L201*L203</f>
        <v>15.0144</v>
      </c>
      <c r="M205" s="16" t="s">
        <v>215</v>
      </c>
      <c r="N205" s="14">
        <f>N201*N203</f>
        <v>15.0144</v>
      </c>
      <c r="O205" s="15" t="s">
        <v>215</v>
      </c>
      <c r="P205" s="1"/>
      <c r="Q205" s="559"/>
      <c r="S205" s="111" t="s">
        <v>224</v>
      </c>
      <c r="T205" s="112">
        <f>Data!$AC$6</f>
        <v>32</v>
      </c>
      <c r="U205" s="112">
        <f>Data!$AC$6</f>
        <v>32</v>
      </c>
      <c r="V205" s="112">
        <f>Data!$AC$6</f>
        <v>32</v>
      </c>
      <c r="W205" s="112"/>
      <c r="X205" s="111" t="s">
        <v>224</v>
      </c>
      <c r="Y205" s="112">
        <f>Data!$AC$7</f>
        <v>16</v>
      </c>
      <c r="Z205" s="112">
        <f>Data!$AC$7</f>
        <v>16</v>
      </c>
      <c r="AA205" s="112">
        <f>Data!$AC$7</f>
        <v>16</v>
      </c>
      <c r="AB205" s="112">
        <f>Data!$AC$7</f>
        <v>16</v>
      </c>
      <c r="AC205" s="112">
        <f>Data!$AC$7</f>
        <v>16</v>
      </c>
      <c r="AD205" s="112">
        <f>Data!$AC$7</f>
        <v>16</v>
      </c>
      <c r="AE205"/>
      <c r="AF205"/>
      <c r="AG205"/>
      <c r="AH205"/>
      <c r="AI205"/>
      <c r="AJ205"/>
      <c r="AK205"/>
      <c r="AL205"/>
    </row>
    <row r="206" spans="1:38" x14ac:dyDescent="0.2">
      <c r="A206" s="1"/>
      <c r="B206" s="23" t="s">
        <v>225</v>
      </c>
      <c r="C206" s="1"/>
      <c r="D206" s="19">
        <f>D204-D205</f>
        <v>304.70591934581188</v>
      </c>
      <c r="E206" s="16" t="s">
        <v>215</v>
      </c>
      <c r="F206" s="20">
        <f>F204-F205</f>
        <v>304.70591934581188</v>
      </c>
      <c r="G206" s="16" t="s">
        <v>215</v>
      </c>
      <c r="H206" s="20">
        <f>H204-H205</f>
        <v>304.70591934581188</v>
      </c>
      <c r="I206" s="16" t="s">
        <v>215</v>
      </c>
      <c r="J206" s="20">
        <f>J204-J205</f>
        <v>310.25471934581185</v>
      </c>
      <c r="K206" s="16" t="s">
        <v>215</v>
      </c>
      <c r="L206" s="20">
        <f>L204-L205</f>
        <v>310.25471934581185</v>
      </c>
      <c r="M206" s="16" t="s">
        <v>215</v>
      </c>
      <c r="N206" s="20">
        <f>N204-N205</f>
        <v>310.25471934581185</v>
      </c>
      <c r="O206" s="15" t="s">
        <v>215</v>
      </c>
      <c r="P206" s="1"/>
      <c r="Q206" s="559"/>
      <c r="S206" s="111"/>
      <c r="T206" s="112"/>
      <c r="U206" s="112"/>
      <c r="V206" s="112"/>
      <c r="W206" s="112"/>
      <c r="X206" s="111" t="s">
        <v>226</v>
      </c>
      <c r="Y206" s="112">
        <f>Data!$AC$8</f>
        <v>80</v>
      </c>
      <c r="Z206" s="112">
        <f>Data!$AC$8</f>
        <v>80</v>
      </c>
      <c r="AA206" s="112">
        <f>Data!$AC$8</f>
        <v>80</v>
      </c>
      <c r="AB206" s="112">
        <f>Data!$AC$8</f>
        <v>80</v>
      </c>
      <c r="AC206" s="112">
        <f>Data!$AC$8</f>
        <v>80</v>
      </c>
      <c r="AD206" s="112">
        <f>Data!$AC$8</f>
        <v>80</v>
      </c>
      <c r="AE206"/>
      <c r="AF206"/>
      <c r="AG206"/>
      <c r="AH206"/>
      <c r="AI206"/>
      <c r="AJ206"/>
      <c r="AK206"/>
      <c r="AL206"/>
    </row>
    <row r="207" spans="1:38" ht="17" thickBot="1" x14ac:dyDescent="0.25">
      <c r="A207" s="1"/>
      <c r="B207" s="24" t="s">
        <v>227</v>
      </c>
      <c r="C207" s="1"/>
      <c r="D207" s="141">
        <f>(D205*100)/D204</f>
        <v>6.3219035490848761</v>
      </c>
      <c r="E207" s="21" t="str">
        <f>IF(D207&gt;Data!$AC$13,"&lt;OVER!","% V Pk")</f>
        <v>% V Pk</v>
      </c>
      <c r="F207" s="142">
        <f>(F205*100)/F204</f>
        <v>6.3219035490848761</v>
      </c>
      <c r="G207" s="21" t="str">
        <f>IF(F207&gt;Data!$AC$13,"&lt;OVER!","% V Pk")</f>
        <v>% V Pk</v>
      </c>
      <c r="H207" s="142">
        <f>(H205*100)/H204</f>
        <v>6.3219035490848761</v>
      </c>
      <c r="I207" s="21" t="str">
        <f>IF(H207&gt;Data!$AC$13,"&lt;OVER!","% V Pk")</f>
        <v>% V Pk</v>
      </c>
      <c r="J207" s="142">
        <f>(J205*100)/J204</f>
        <v>4.6159930675857819</v>
      </c>
      <c r="K207" s="21" t="str">
        <f>IF(J207&gt;Data!$AC$13,"&lt;OVER!","% V Pk")</f>
        <v>% V Pk</v>
      </c>
      <c r="L207" s="142">
        <f>(L205*100)/L204</f>
        <v>4.6159930675857819</v>
      </c>
      <c r="M207" s="21" t="str">
        <f>IF(L207&gt;Data!$AC$13,"&lt;OVER!","% V Pk")</f>
        <v>% V Pk</v>
      </c>
      <c r="N207" s="142">
        <f>(N205*100)/N204</f>
        <v>4.6159930675857819</v>
      </c>
      <c r="O207" s="22" t="str">
        <f>IF(N207&gt;Data!$AC$13,"&lt;OVER!","% V Pk")</f>
        <v>% V Pk</v>
      </c>
      <c r="P207" s="1"/>
      <c r="Q207" s="559"/>
      <c r="S207" s="111" t="str">
        <f>'EU MDM-5000'!B189</f>
        <v>MLTC + 30%</v>
      </c>
      <c r="T207" s="112">
        <f>'EU MDM-5000'!D189</f>
        <v>28.6</v>
      </c>
      <c r="U207" s="112">
        <f>'EU MDM-5000'!F189</f>
        <v>28.6</v>
      </c>
      <c r="V207" s="112">
        <f>'EU MDM-5000'!H189</f>
        <v>28.6</v>
      </c>
      <c r="W207" s="112"/>
      <c r="X207" s="111" t="str">
        <f>'EU MDM-5000'!B189</f>
        <v>MLTC + 30%</v>
      </c>
      <c r="Y207" s="112">
        <f>'EU MDM-5000'!D199</f>
        <v>12</v>
      </c>
      <c r="Z207" s="112">
        <f>'EU MDM-5000'!F199</f>
        <v>12</v>
      </c>
      <c r="AA207" s="112">
        <f>'EU MDM-5000'!H199</f>
        <v>12</v>
      </c>
      <c r="AB207" s="112">
        <f>'EU MDM-5000'!J199</f>
        <v>10</v>
      </c>
      <c r="AC207" s="112">
        <f>'EU MDM-5000'!L199</f>
        <v>10</v>
      </c>
      <c r="AD207" s="112">
        <f>'EU MDM-5000'!N199</f>
        <v>10</v>
      </c>
      <c r="AE207"/>
      <c r="AF207"/>
      <c r="AG207"/>
      <c r="AH207"/>
      <c r="AI207"/>
      <c r="AJ207"/>
      <c r="AK207"/>
      <c r="AL207"/>
    </row>
    <row r="208" spans="1:38" x14ac:dyDescent="0.2">
      <c r="A208" s="1"/>
      <c r="B208" s="1"/>
      <c r="C208" s="1"/>
      <c r="D208" s="1"/>
      <c r="E208" s="1"/>
      <c r="F208" s="1"/>
      <c r="G208" s="1"/>
      <c r="H208" s="1"/>
      <c r="I208" s="1"/>
      <c r="J208" s="1"/>
      <c r="K208" s="1"/>
      <c r="L208" s="1"/>
      <c r="M208" s="1"/>
      <c r="N208" s="1"/>
      <c r="O208" s="1"/>
      <c r="P208" s="1"/>
      <c r="Q208" s="559"/>
      <c r="S208" s="111" t="str">
        <f>'EU MDM-5000'!B190</f>
        <v>Burst RMS</v>
      </c>
      <c r="T208" s="112">
        <f>'EU MDM-5000'!D190</f>
        <v>37.200000000000003</v>
      </c>
      <c r="U208" s="112">
        <f>'EU MDM-5000'!F190</f>
        <v>37.200000000000003</v>
      </c>
      <c r="V208" s="112">
        <f>'EU MDM-5000'!H190</f>
        <v>37.200000000000003</v>
      </c>
      <c r="W208" s="112"/>
      <c r="X208" s="111" t="str">
        <f>'EU MDM-5000'!B190</f>
        <v>Burst RMS</v>
      </c>
      <c r="Y208" s="112">
        <f>'EU MDM-5000'!D200</f>
        <v>18.399999999999999</v>
      </c>
      <c r="Z208" s="112">
        <f>'EU MDM-5000'!F200</f>
        <v>18.399999999999999</v>
      </c>
      <c r="AA208" s="112">
        <f>'EU MDM-5000'!H200</f>
        <v>18.399999999999999</v>
      </c>
      <c r="AB208" s="112">
        <f>'EU MDM-5000'!J200</f>
        <v>18.8</v>
      </c>
      <c r="AC208" s="112">
        <f>'EU MDM-5000'!L200</f>
        <v>18.8</v>
      </c>
      <c r="AD208" s="112">
        <f>'EU MDM-5000'!N200</f>
        <v>18.8</v>
      </c>
      <c r="AE208"/>
      <c r="AF208"/>
      <c r="AG208"/>
      <c r="AH208"/>
      <c r="AI208"/>
      <c r="AJ208"/>
      <c r="AK208"/>
      <c r="AL208"/>
    </row>
    <row r="209" spans="1:38" x14ac:dyDescent="0.2">
      <c r="A209" s="1"/>
      <c r="B209" s="1"/>
      <c r="C209" s="1"/>
      <c r="D209" s="1"/>
      <c r="E209" s="1"/>
      <c r="F209" s="1"/>
      <c r="G209" s="1"/>
      <c r="H209" s="1"/>
      <c r="I209" s="1"/>
      <c r="J209" s="1"/>
      <c r="K209" s="1"/>
      <c r="L209" s="1"/>
      <c r="M209" s="1"/>
      <c r="N209" s="1"/>
      <c r="O209" s="1"/>
      <c r="P209" s="1"/>
      <c r="Q209" s="559"/>
      <c r="S209" s="111" t="str">
        <f>'EU MDM-5000'!B191</f>
        <v>Max Inst Pk</v>
      </c>
      <c r="T209" s="112">
        <f>'EU MDM-5000'!D191</f>
        <v>87.199999999999989</v>
      </c>
      <c r="U209" s="112">
        <f>'EU MDM-5000'!F191</f>
        <v>87.199999999999989</v>
      </c>
      <c r="V209" s="112">
        <f>'EU MDM-5000'!H191</f>
        <v>87.199999999999989</v>
      </c>
      <c r="W209" s="112"/>
      <c r="X209" s="111" t="str">
        <f>'EU MDM-5000'!B191</f>
        <v>Max Inst Pk</v>
      </c>
      <c r="Y209" s="112">
        <f>'EU MDM-5000'!D201</f>
        <v>50.4</v>
      </c>
      <c r="Z209" s="112">
        <f>'EU MDM-5000'!F201</f>
        <v>50.4</v>
      </c>
      <c r="AA209" s="112">
        <f>'EU MDM-5000'!H201</f>
        <v>50.4</v>
      </c>
      <c r="AB209" s="112">
        <f>'EU MDM-5000'!J201</f>
        <v>36.799999999999997</v>
      </c>
      <c r="AC209" s="112">
        <f>'EU MDM-5000'!L201</f>
        <v>36.799999999999997</v>
      </c>
      <c r="AD209" s="112">
        <f>'EU MDM-5000'!N201</f>
        <v>36.799999999999997</v>
      </c>
      <c r="AE209"/>
      <c r="AF209"/>
      <c r="AG209"/>
      <c r="AH209"/>
      <c r="AI209"/>
      <c r="AJ209"/>
      <c r="AK209"/>
      <c r="AL209"/>
    </row>
    <row r="210" spans="1:38" x14ac:dyDescent="0.2">
      <c r="A210" s="1"/>
      <c r="B210" s="1"/>
      <c r="C210" s="1"/>
      <c r="D210" s="1"/>
      <c r="E210" s="1"/>
      <c r="F210" s="1"/>
      <c r="G210" s="1"/>
      <c r="H210" s="1"/>
      <c r="I210" s="1"/>
      <c r="J210" s="1"/>
      <c r="K210" s="1"/>
      <c r="L210" s="1"/>
      <c r="M210" s="1"/>
      <c r="N210" s="1"/>
      <c r="O210" s="1"/>
      <c r="P210" s="1"/>
      <c r="Q210" s="559"/>
      <c r="S210" s="111"/>
      <c r="T210" s="112"/>
      <c r="U210" s="112"/>
      <c r="V210" s="112"/>
      <c r="W210" s="112"/>
      <c r="X210" s="111"/>
      <c r="Y210" s="112"/>
      <c r="Z210" s="112"/>
      <c r="AA210" s="112"/>
      <c r="AB210" s="112"/>
      <c r="AC210" s="112"/>
      <c r="AD210" s="112"/>
      <c r="AE210"/>
      <c r="AF210"/>
      <c r="AG210"/>
      <c r="AH210"/>
      <c r="AI210"/>
      <c r="AJ210"/>
      <c r="AK210"/>
      <c r="AL210"/>
    </row>
    <row r="211" spans="1:38" x14ac:dyDescent="0.2">
      <c r="A211" s="1"/>
      <c r="B211" s="1"/>
      <c r="C211" s="1"/>
      <c r="D211" s="1"/>
      <c r="E211" s="1"/>
      <c r="F211" s="1"/>
      <c r="G211" s="1"/>
      <c r="H211" s="1"/>
      <c r="I211" s="1"/>
      <c r="J211" s="1"/>
      <c r="K211" s="1"/>
      <c r="L211" s="1"/>
      <c r="M211" s="1"/>
      <c r="N211" s="1"/>
      <c r="O211" s="1"/>
      <c r="P211" s="1"/>
      <c r="Q211" s="559"/>
      <c r="S211" s="111"/>
      <c r="T211" s="112"/>
      <c r="U211" s="112"/>
      <c r="V211" s="112"/>
      <c r="W211" s="112"/>
      <c r="X211" s="111"/>
      <c r="Y211" s="112"/>
      <c r="Z211" s="112"/>
      <c r="AA211" s="112"/>
      <c r="AB211" s="112"/>
      <c r="AC211" s="112"/>
      <c r="AD211" s="112"/>
      <c r="AE211"/>
      <c r="AF211"/>
      <c r="AG211"/>
      <c r="AH211"/>
      <c r="AI211"/>
      <c r="AJ211"/>
      <c r="AK211"/>
      <c r="AL211"/>
    </row>
    <row r="212" spans="1:38" x14ac:dyDescent="0.2">
      <c r="A212" s="1"/>
      <c r="B212" s="1"/>
      <c r="C212" s="1"/>
      <c r="D212" s="1"/>
      <c r="E212" s="1"/>
      <c r="F212" s="1"/>
      <c r="G212" s="1"/>
      <c r="H212" s="1"/>
      <c r="I212" s="1"/>
      <c r="J212" s="1"/>
      <c r="K212" s="1"/>
      <c r="L212" s="1"/>
      <c r="M212" s="1"/>
      <c r="N212" s="1"/>
      <c r="O212" s="1"/>
      <c r="P212" s="1"/>
      <c r="Q212" s="559"/>
      <c r="S212" s="111" t="s">
        <v>228</v>
      </c>
      <c r="T212" s="112">
        <f>(100*T207)/T205</f>
        <v>89.375</v>
      </c>
      <c r="U212" s="112">
        <f>(100*U207)/U205</f>
        <v>89.375</v>
      </c>
      <c r="V212" s="112">
        <f>(100*V207)/V205</f>
        <v>89.375</v>
      </c>
      <c r="W212" s="112"/>
      <c r="X212" s="111" t="s">
        <v>228</v>
      </c>
      <c r="Y212" s="112">
        <f t="shared" ref="Y212:AD212" si="37">(100*Y207)/Y205</f>
        <v>75</v>
      </c>
      <c r="Z212" s="112">
        <f t="shared" si="37"/>
        <v>75</v>
      </c>
      <c r="AA212" s="112">
        <f t="shared" si="37"/>
        <v>75</v>
      </c>
      <c r="AB212" s="112">
        <f t="shared" si="37"/>
        <v>62.5</v>
      </c>
      <c r="AC212" s="112">
        <f t="shared" si="37"/>
        <v>62.5</v>
      </c>
      <c r="AD212" s="112">
        <f t="shared" si="37"/>
        <v>62.5</v>
      </c>
      <c r="AE212"/>
      <c r="AF212"/>
      <c r="AG212"/>
      <c r="AH212"/>
      <c r="AI212"/>
      <c r="AJ212"/>
      <c r="AK212"/>
      <c r="AL212"/>
    </row>
    <row r="213" spans="1:38" x14ac:dyDescent="0.2">
      <c r="A213" s="1"/>
      <c r="B213" s="1"/>
      <c r="C213" s="1"/>
      <c r="D213" s="1"/>
      <c r="E213" s="1"/>
      <c r="F213" s="1"/>
      <c r="G213" s="1"/>
      <c r="H213" s="1"/>
      <c r="I213" s="1"/>
      <c r="J213" s="1"/>
      <c r="K213" s="1"/>
      <c r="L213" s="1"/>
      <c r="M213" s="1"/>
      <c r="N213" s="1"/>
      <c r="O213" s="1"/>
      <c r="P213" s="1"/>
      <c r="Q213" s="559"/>
      <c r="S213" s="111" t="s">
        <v>229</v>
      </c>
      <c r="T213" s="112">
        <f>T212-100</f>
        <v>-10.625</v>
      </c>
      <c r="U213" s="112">
        <f>U212-100</f>
        <v>-10.625</v>
      </c>
      <c r="V213" s="112">
        <f>V212-100</f>
        <v>-10.625</v>
      </c>
      <c r="W213" s="112"/>
      <c r="X213" s="111" t="s">
        <v>229</v>
      </c>
      <c r="Y213" s="112">
        <f t="shared" ref="Y213:AD213" si="38">Y212-100</f>
        <v>-25</v>
      </c>
      <c r="Z213" s="112">
        <f t="shared" si="38"/>
        <v>-25</v>
      </c>
      <c r="AA213" s="112">
        <f t="shared" si="38"/>
        <v>-25</v>
      </c>
      <c r="AB213" s="112">
        <f t="shared" si="38"/>
        <v>-37.5</v>
      </c>
      <c r="AC213" s="112">
        <f t="shared" si="38"/>
        <v>-37.5</v>
      </c>
      <c r="AD213" s="112">
        <f t="shared" si="38"/>
        <v>-37.5</v>
      </c>
      <c r="AE213"/>
      <c r="AF213"/>
      <c r="AG213"/>
      <c r="AH213"/>
      <c r="AI213"/>
      <c r="AJ213"/>
      <c r="AK213"/>
      <c r="AL213"/>
    </row>
    <row r="214" spans="1:38" x14ac:dyDescent="0.2">
      <c r="A214" s="1"/>
      <c r="B214" s="1"/>
      <c r="C214" s="1"/>
      <c r="D214" s="1"/>
      <c r="E214" s="1"/>
      <c r="F214" s="1"/>
      <c r="G214" s="1"/>
      <c r="H214" s="1"/>
      <c r="I214" s="1"/>
      <c r="J214" s="1"/>
      <c r="K214" s="1"/>
      <c r="L214" s="1"/>
      <c r="M214" s="1"/>
      <c r="N214" s="1"/>
      <c r="O214" s="1"/>
      <c r="P214" s="1"/>
      <c r="Q214" s="559"/>
      <c r="S214" s="111" t="s">
        <v>230</v>
      </c>
      <c r="T214" s="112">
        <f>IF(T213&lt;0,T212,100)</f>
        <v>89.375</v>
      </c>
      <c r="U214" s="112">
        <f>IF(U213&lt;0,U212,100)</f>
        <v>89.375</v>
      </c>
      <c r="V214" s="112">
        <f>IF(V213&lt;0,V212,100)</f>
        <v>89.375</v>
      </c>
      <c r="W214" s="112"/>
      <c r="X214" s="111" t="s">
        <v>230</v>
      </c>
      <c r="Y214" s="112">
        <f t="shared" ref="Y214:AD214" si="39">IF(Y213&lt;0,Y212,100)</f>
        <v>75</v>
      </c>
      <c r="Z214" s="112">
        <f t="shared" si="39"/>
        <v>75</v>
      </c>
      <c r="AA214" s="112">
        <f t="shared" si="39"/>
        <v>75</v>
      </c>
      <c r="AB214" s="112">
        <f t="shared" si="39"/>
        <v>62.5</v>
      </c>
      <c r="AC214" s="112">
        <f t="shared" si="39"/>
        <v>62.5</v>
      </c>
      <c r="AD214" s="112">
        <f t="shared" si="39"/>
        <v>62.5</v>
      </c>
      <c r="AE214"/>
      <c r="AF214"/>
      <c r="AG214"/>
      <c r="AH214"/>
      <c r="AI214"/>
      <c r="AJ214"/>
      <c r="AK214"/>
      <c r="AL214"/>
    </row>
    <row r="215" spans="1:38" x14ac:dyDescent="0.2">
      <c r="A215" s="1"/>
      <c r="B215" s="1"/>
      <c r="C215" s="1"/>
      <c r="D215" s="1"/>
      <c r="E215" s="1"/>
      <c r="F215" s="1"/>
      <c r="G215" s="1"/>
      <c r="H215" s="1"/>
      <c r="I215" s="1"/>
      <c r="J215" s="1"/>
      <c r="K215" s="1"/>
      <c r="L215" s="1"/>
      <c r="M215" s="1"/>
      <c r="N215" s="1"/>
      <c r="O215" s="1"/>
      <c r="P215" s="1"/>
      <c r="Q215" s="559"/>
      <c r="S215" s="111" t="s">
        <v>231</v>
      </c>
      <c r="T215" s="112" t="e">
        <f>IF(T212&gt;100,T212-T214,NA())</f>
        <v>#N/A</v>
      </c>
      <c r="U215" s="112" t="e">
        <f>IF(U212&gt;100,U212-U214,NA())</f>
        <v>#N/A</v>
      </c>
      <c r="V215" s="112" t="e">
        <f>IF(V212&gt;100,V212-V214,NA())</f>
        <v>#N/A</v>
      </c>
      <c r="W215" s="112"/>
      <c r="X215" s="111" t="s">
        <v>231</v>
      </c>
      <c r="Y215" s="112" t="e">
        <f t="shared" ref="Y215:AD215" si="40">IF(Y212&gt;100,Y212-Y214,NA())</f>
        <v>#N/A</v>
      </c>
      <c r="Z215" s="112" t="e">
        <f t="shared" si="40"/>
        <v>#N/A</v>
      </c>
      <c r="AA215" s="112" t="e">
        <f t="shared" si="40"/>
        <v>#N/A</v>
      </c>
      <c r="AB215" s="112" t="e">
        <f t="shared" si="40"/>
        <v>#N/A</v>
      </c>
      <c r="AC215" s="112" t="e">
        <f t="shared" si="40"/>
        <v>#N/A</v>
      </c>
      <c r="AD215" s="112" t="e">
        <f t="shared" si="40"/>
        <v>#N/A</v>
      </c>
      <c r="AE215"/>
      <c r="AF215"/>
      <c r="AG215"/>
      <c r="AH215"/>
      <c r="AI215"/>
      <c r="AJ215"/>
      <c r="AK215"/>
      <c r="AL215"/>
    </row>
    <row r="216" spans="1:38" x14ac:dyDescent="0.2">
      <c r="A216" s="1"/>
      <c r="B216" s="1"/>
      <c r="C216" s="1"/>
      <c r="D216" s="1"/>
      <c r="E216" s="1"/>
      <c r="F216" s="1"/>
      <c r="G216" s="1"/>
      <c r="H216" s="1"/>
      <c r="I216" s="1"/>
      <c r="J216" s="1"/>
      <c r="K216" s="1"/>
      <c r="L216" s="1"/>
      <c r="M216" s="1"/>
      <c r="N216" s="1"/>
      <c r="O216" s="1"/>
      <c r="P216" s="1"/>
      <c r="Q216" s="559"/>
      <c r="S216" s="111"/>
      <c r="T216" s="112"/>
      <c r="U216" s="112"/>
      <c r="V216" s="112"/>
      <c r="W216" s="112"/>
      <c r="X216" s="111" t="s">
        <v>232</v>
      </c>
      <c r="Y216" s="112">
        <f>Data!$AC$13</f>
        <v>10</v>
      </c>
      <c r="Z216" s="112">
        <f>Data!$AC$13</f>
        <v>10</v>
      </c>
      <c r="AA216" s="112">
        <f>Data!$AC$13</f>
        <v>10</v>
      </c>
      <c r="AB216" s="112">
        <f>Data!$AC$13</f>
        <v>10</v>
      </c>
      <c r="AC216" s="112">
        <f>Data!$AC$13</f>
        <v>10</v>
      </c>
      <c r="AD216" s="112">
        <f>Data!$AC$13</f>
        <v>10</v>
      </c>
      <c r="AE216"/>
      <c r="AF216"/>
      <c r="AG216"/>
      <c r="AH216"/>
      <c r="AI216"/>
      <c r="AJ216"/>
      <c r="AK216"/>
      <c r="AL216"/>
    </row>
    <row r="217" spans="1:38" x14ac:dyDescent="0.2">
      <c r="A217" s="1"/>
      <c r="B217" s="1"/>
      <c r="C217" s="1"/>
      <c r="D217" s="1"/>
      <c r="E217" s="1"/>
      <c r="F217" s="1"/>
      <c r="G217" s="1"/>
      <c r="H217" s="1"/>
      <c r="I217" s="1"/>
      <c r="J217" s="1"/>
      <c r="K217" s="1"/>
      <c r="L217" s="1"/>
      <c r="M217" s="1"/>
      <c r="N217" s="1"/>
      <c r="O217" s="1"/>
      <c r="P217" s="1"/>
      <c r="Q217" s="559"/>
      <c r="S217" s="111"/>
      <c r="T217" s="112"/>
      <c r="U217" s="112"/>
      <c r="V217" s="112"/>
      <c r="W217" s="112"/>
      <c r="X217" s="111" t="s">
        <v>233</v>
      </c>
      <c r="Y217" s="113">
        <f>-'EU MDM-5000'!D207</f>
        <v>-6.3219035490848761</v>
      </c>
      <c r="Z217" s="113">
        <f>-'EU MDM-5000'!F207</f>
        <v>-6.3219035490848761</v>
      </c>
      <c r="AA217" s="113">
        <f>-'EU MDM-5000'!H207</f>
        <v>-6.3219035490848761</v>
      </c>
      <c r="AB217" s="113">
        <f>-'EU MDM-5000'!J207</f>
        <v>-4.6159930675857819</v>
      </c>
      <c r="AC217" s="113">
        <f>-'EU MDM-5000'!L207</f>
        <v>-4.6159930675857819</v>
      </c>
      <c r="AD217" s="113">
        <f>-'EU MDM-5000'!N207</f>
        <v>-4.6159930675857819</v>
      </c>
      <c r="AE217"/>
      <c r="AF217"/>
      <c r="AG217"/>
      <c r="AH217"/>
      <c r="AI217"/>
      <c r="AJ217"/>
      <c r="AK217"/>
      <c r="AL217"/>
    </row>
    <row r="218" spans="1:38" x14ac:dyDescent="0.2">
      <c r="A218" s="1"/>
      <c r="B218" s="1"/>
      <c r="C218" s="1"/>
      <c r="D218" s="1"/>
      <c r="E218" s="1"/>
      <c r="F218" s="1"/>
      <c r="G218" s="1"/>
      <c r="H218" s="1"/>
      <c r="I218" s="1"/>
      <c r="J218" s="1"/>
      <c r="K218" s="1"/>
      <c r="L218" s="1"/>
      <c r="M218" s="1"/>
      <c r="N218" s="1"/>
      <c r="O218" s="1"/>
      <c r="P218" s="1"/>
      <c r="Q218" s="559"/>
      <c r="S218" s="111"/>
      <c r="T218" s="112"/>
      <c r="U218" s="112"/>
      <c r="V218" s="112"/>
      <c r="W218" s="112"/>
      <c r="X218" s="111" t="s">
        <v>234</v>
      </c>
      <c r="Y218" s="112">
        <f t="shared" ref="Y218:AD218" si="41">IF(Y217&gt;-Y216,Y217,-Y216)</f>
        <v>-6.3219035490848761</v>
      </c>
      <c r="Z218" s="112">
        <f t="shared" si="41"/>
        <v>-6.3219035490848761</v>
      </c>
      <c r="AA218" s="112">
        <f t="shared" si="41"/>
        <v>-6.3219035490848761</v>
      </c>
      <c r="AB218" s="112">
        <f t="shared" si="41"/>
        <v>-4.6159930675857819</v>
      </c>
      <c r="AC218" s="112">
        <f t="shared" si="41"/>
        <v>-4.6159930675857819</v>
      </c>
      <c r="AD218" s="112">
        <f t="shared" si="41"/>
        <v>-4.6159930675857819</v>
      </c>
      <c r="AE218"/>
      <c r="AF218"/>
      <c r="AG218"/>
      <c r="AH218"/>
      <c r="AI218"/>
      <c r="AJ218"/>
      <c r="AK218"/>
      <c r="AL218"/>
    </row>
    <row r="219" spans="1:38" x14ac:dyDescent="0.2">
      <c r="A219" s="1"/>
      <c r="B219" s="1"/>
      <c r="C219" s="1"/>
      <c r="D219" s="1"/>
      <c r="E219" s="1"/>
      <c r="F219" s="1"/>
      <c r="G219" s="1"/>
      <c r="H219" s="1"/>
      <c r="I219" s="1"/>
      <c r="J219" s="1"/>
      <c r="K219" s="1"/>
      <c r="L219" s="1"/>
      <c r="M219" s="1"/>
      <c r="N219" s="1"/>
      <c r="O219" s="1"/>
      <c r="P219" s="1"/>
      <c r="Q219" s="559"/>
      <c r="S219" s="111"/>
      <c r="T219" s="112"/>
      <c r="U219" s="112"/>
      <c r="V219" s="112"/>
      <c r="W219" s="112"/>
      <c r="X219" s="111" t="s">
        <v>235</v>
      </c>
      <c r="Y219" s="112" t="e">
        <f t="shared" ref="Y219:AD219" si="42">IF(Y217&gt;-Y216,NA(),Y217+Y216)</f>
        <v>#N/A</v>
      </c>
      <c r="Z219" s="112" t="e">
        <f t="shared" si="42"/>
        <v>#N/A</v>
      </c>
      <c r="AA219" s="112" t="e">
        <f t="shared" si="42"/>
        <v>#N/A</v>
      </c>
      <c r="AB219" s="112" t="e">
        <f t="shared" si="42"/>
        <v>#N/A</v>
      </c>
      <c r="AC219" s="112" t="e">
        <f t="shared" si="42"/>
        <v>#N/A</v>
      </c>
      <c r="AD219" s="112" t="e">
        <f t="shared" si="42"/>
        <v>#N/A</v>
      </c>
      <c r="AE219"/>
      <c r="AF219"/>
      <c r="AG219"/>
      <c r="AH219"/>
      <c r="AI219"/>
      <c r="AJ219"/>
      <c r="AK219"/>
      <c r="AL219"/>
    </row>
    <row r="220" spans="1:38" x14ac:dyDescent="0.2">
      <c r="A220" s="1"/>
      <c r="B220" s="1"/>
      <c r="C220" s="1"/>
      <c r="D220" s="1"/>
      <c r="E220" s="1"/>
      <c r="F220" s="1"/>
      <c r="G220" s="1"/>
      <c r="H220" s="1"/>
      <c r="I220" s="1"/>
      <c r="J220" s="1"/>
      <c r="K220" s="1"/>
      <c r="L220" s="1"/>
      <c r="M220" s="1"/>
      <c r="N220" s="1"/>
      <c r="O220" s="1"/>
      <c r="P220" s="1"/>
      <c r="Q220" s="559"/>
      <c r="S220" s="111"/>
      <c r="T220" s="112"/>
      <c r="U220" s="112"/>
      <c r="V220" s="112"/>
      <c r="W220" s="112"/>
      <c r="X220" s="111"/>
      <c r="Y220" s="112"/>
      <c r="Z220" s="112"/>
      <c r="AA220" s="112"/>
      <c r="AB220" s="112"/>
      <c r="AC220" s="112"/>
      <c r="AD220" s="112"/>
      <c r="AE220"/>
      <c r="AF220"/>
      <c r="AG220"/>
      <c r="AH220"/>
      <c r="AI220"/>
      <c r="AJ220"/>
      <c r="AK220"/>
      <c r="AL220"/>
    </row>
    <row r="221" spans="1:38" x14ac:dyDescent="0.2">
      <c r="A221" s="1"/>
      <c r="B221" s="1"/>
      <c r="C221" s="1"/>
      <c r="D221" s="1"/>
      <c r="E221" s="1"/>
      <c r="F221" s="1"/>
      <c r="G221" s="1"/>
      <c r="H221" s="1"/>
      <c r="I221" s="1"/>
      <c r="J221" s="1"/>
      <c r="K221" s="1"/>
      <c r="L221" s="1"/>
      <c r="M221" s="1"/>
      <c r="N221" s="1"/>
      <c r="O221" s="1"/>
      <c r="P221" s="1"/>
      <c r="AE221"/>
      <c r="AF221"/>
      <c r="AG221"/>
      <c r="AH221"/>
      <c r="AI221"/>
      <c r="AJ221"/>
      <c r="AK221"/>
      <c r="AL221"/>
    </row>
    <row r="222" spans="1:38" x14ac:dyDescent="0.2">
      <c r="A222" s="1"/>
      <c r="B222" s="71" t="str">
        <f>Data!$T$1</f>
        <v>Meyer Sound Laboratories, Inc. Berkeley, California, USA                                 www.meyersound.com</v>
      </c>
      <c r="C222" s="1"/>
      <c r="D222" s="1"/>
      <c r="E222" s="1"/>
      <c r="F222" s="1"/>
      <c r="G222" s="1"/>
      <c r="H222" s="1"/>
      <c r="I222" s="1"/>
      <c r="J222" s="1"/>
      <c r="K222" s="1"/>
      <c r="L222" s="1"/>
      <c r="M222" s="1"/>
      <c r="N222" s="1"/>
      <c r="O222" s="1"/>
      <c r="P222" s="126" t="str">
        <f>Data!$G$1</f>
        <v>© 2021</v>
      </c>
      <c r="AF222"/>
      <c r="AG222"/>
      <c r="AH222"/>
      <c r="AI222"/>
      <c r="AJ222"/>
      <c r="AK222"/>
      <c r="AL222"/>
    </row>
  </sheetData>
  <sheetProtection algorithmName="SHA-512" hashValue="X4lLjCvXtisTS/IfimHpqIwq8mTD37Tz3s0lC5XEOrNejYMjeuiWWL7L7d32q2rGfCavezF3eN7Q3KmOZL7O5g==" saltValue="8M7LaWUFcXGswqte38VJ7Q==" spinCount="100000" sheet="1" objects="1" scenarios="1" selectLockedCells="1"/>
  <customSheetViews>
    <customSheetView guid="{3AB00655-FA95-794F-AE6B-0DE661FEB534}" showPageBreaks="1" view="pageLayout" topLeftCell="A12">
      <selection activeCell="H46" sqref="H46"/>
      <rowBreaks count="1" manualBreakCount="1">
        <brk id="37" max="16383" man="1"/>
      </rowBreaks>
      <pageMargins left="0" right="0" top="0" bottom="0" header="0" footer="0"/>
      <pageSetup scale="96" orientation="landscape" horizontalDpi="4294967292" verticalDpi="4294967292"/>
    </customSheetView>
    <customSheetView guid="{638DA5E6-5C83-F34B-A013-9937D26CA5CB}" scale="84" showPageBreaks="1" view="pageLayout" topLeftCell="A38">
      <selection activeCell="E47" sqref="E47"/>
    </customSheetView>
  </customSheetViews>
  <mergeCells count="78">
    <mergeCell ref="Q19:Q35"/>
    <mergeCell ref="M4:N6"/>
    <mergeCell ref="D12:I12"/>
    <mergeCell ref="J12:O12"/>
    <mergeCell ref="J2:K2"/>
    <mergeCell ref="D8:E8"/>
    <mergeCell ref="F8:G8"/>
    <mergeCell ref="H8:I8"/>
    <mergeCell ref="J8:K8"/>
    <mergeCell ref="L8:M8"/>
    <mergeCell ref="N8:O8"/>
    <mergeCell ref="O4:P6"/>
    <mergeCell ref="J4:L6"/>
    <mergeCell ref="D160:I160"/>
    <mergeCell ref="J160:O160"/>
    <mergeCell ref="Q167:Q183"/>
    <mergeCell ref="J187:K187"/>
    <mergeCell ref="D156:E156"/>
    <mergeCell ref="F156:G156"/>
    <mergeCell ref="H156:I156"/>
    <mergeCell ref="J156:K156"/>
    <mergeCell ref="L156:M156"/>
    <mergeCell ref="D123:I123"/>
    <mergeCell ref="J123:O123"/>
    <mergeCell ref="Q130:Q146"/>
    <mergeCell ref="J150:K150"/>
    <mergeCell ref="D119:E119"/>
    <mergeCell ref="F119:G119"/>
    <mergeCell ref="H119:I119"/>
    <mergeCell ref="J119:K119"/>
    <mergeCell ref="L119:M119"/>
    <mergeCell ref="D86:I86"/>
    <mergeCell ref="J86:O86"/>
    <mergeCell ref="Q93:Q109"/>
    <mergeCell ref="J113:K113"/>
    <mergeCell ref="D82:E82"/>
    <mergeCell ref="F82:G82"/>
    <mergeCell ref="H82:I82"/>
    <mergeCell ref="J82:K82"/>
    <mergeCell ref="L82:M82"/>
    <mergeCell ref="D49:I49"/>
    <mergeCell ref="J49:O49"/>
    <mergeCell ref="Q56:Q72"/>
    <mergeCell ref="J76:K76"/>
    <mergeCell ref="D45:E45"/>
    <mergeCell ref="F45:G45"/>
    <mergeCell ref="H45:I45"/>
    <mergeCell ref="J45:K45"/>
    <mergeCell ref="L45:M45"/>
    <mergeCell ref="J39:K39"/>
    <mergeCell ref="M41:N43"/>
    <mergeCell ref="O41:P43"/>
    <mergeCell ref="N45:O45"/>
    <mergeCell ref="M78:N80"/>
    <mergeCell ref="O78:P80"/>
    <mergeCell ref="D197:I197"/>
    <mergeCell ref="J197:O197"/>
    <mergeCell ref="Q204:Q220"/>
    <mergeCell ref="D193:E193"/>
    <mergeCell ref="F193:G193"/>
    <mergeCell ref="H193:I193"/>
    <mergeCell ref="J193:K193"/>
    <mergeCell ref="L193:M193"/>
    <mergeCell ref="J41:L43"/>
    <mergeCell ref="J78:L80"/>
    <mergeCell ref="J115:L117"/>
    <mergeCell ref="J152:L154"/>
    <mergeCell ref="N193:O193"/>
    <mergeCell ref="M189:N191"/>
    <mergeCell ref="O189:P191"/>
    <mergeCell ref="J189:L191"/>
    <mergeCell ref="N82:O82"/>
    <mergeCell ref="M115:N117"/>
    <mergeCell ref="O115:P117"/>
    <mergeCell ref="N119:O119"/>
    <mergeCell ref="M152:N154"/>
    <mergeCell ref="O152:P154"/>
    <mergeCell ref="N156:O156"/>
  </mergeCells>
  <phoneticPr fontId="5" type="noConversion"/>
  <conditionalFormatting sqref="M4">
    <cfRule type="expression" dxfId="190" priority="121">
      <formula>$S$10&gt;0</formula>
    </cfRule>
  </conditionalFormatting>
  <conditionalFormatting sqref="M4:N6">
    <cfRule type="expression" dxfId="189" priority="122">
      <formula>$S$10=0</formula>
    </cfRule>
  </conditionalFormatting>
  <conditionalFormatting sqref="M41:N43">
    <cfRule type="expression" dxfId="188" priority="29">
      <formula>$S$47&gt;0</formula>
    </cfRule>
    <cfRule type="expression" dxfId="187" priority="30">
      <formula>$S$47=0</formula>
    </cfRule>
  </conditionalFormatting>
  <conditionalFormatting sqref="M78:N80">
    <cfRule type="expression" dxfId="186" priority="23">
      <formula>$S$84&gt;0</formula>
    </cfRule>
    <cfRule type="expression" dxfId="185" priority="24">
      <formula>$S$84=0</formula>
    </cfRule>
  </conditionalFormatting>
  <conditionalFormatting sqref="M115">
    <cfRule type="expression" dxfId="184" priority="17">
      <formula>$S$121&gt;0</formula>
    </cfRule>
  </conditionalFormatting>
  <conditionalFormatting sqref="M115:N117">
    <cfRule type="expression" dxfId="183" priority="18">
      <formula>$S$121=0</formula>
    </cfRule>
  </conditionalFormatting>
  <conditionalFormatting sqref="M152:N154">
    <cfRule type="expression" dxfId="182" priority="11">
      <formula>$S$158&gt;0</formula>
    </cfRule>
    <cfRule type="expression" dxfId="181" priority="12">
      <formula>$S$158=0</formula>
    </cfRule>
  </conditionalFormatting>
  <conditionalFormatting sqref="M189:N191">
    <cfRule type="expression" dxfId="180" priority="5">
      <formula>$S$195&gt;0</formula>
    </cfRule>
    <cfRule type="expression" dxfId="179" priority="6">
      <formula>$S$195=0</formula>
    </cfRule>
  </conditionalFormatting>
  <dataValidations count="3">
    <dataValidation type="decimal" operator="greaterThanOrEqual" allowBlank="1" showInputMessage="1" showErrorMessage="1" sqref="N196 L196 J196 H196 F196 D196 D159 F159 H159 J159 L159 N159 N122 L122 J122 H122 F122 D122 D85 F85 H85 J85 L85 N85 N48 L48 J48 H48 F48 D48 D11 F11 H11 J11 L11 N11" xr:uid="{00000000-0002-0000-0600-000000000000}">
      <formula1>0</formula1>
    </dataValidation>
    <dataValidation type="whole" operator="greaterThanOrEqual" allowBlank="1" showErrorMessage="1" errorTitle="Loudspeaker Quantity" error="Quantity can not be less than zero_x000a__x000a_Quantity can only be a whole number" sqref="E9:E10 G9:G10 I9:I10 K9:K10 M9:M10 O9:O10 E46:E47 G46:G47 I46:I47 K46:K47 M46:M47 O46:O47 E83:E84 G83:G84 I83:I84 K83:K84 M83:M84 O83:O84 O120:O121 M120:M121 K120:K121 I120:I121 G120:G121 E120:E121 E157:E158 G157:G158 I157:I158 K157:K158 M157:M158 O157:O158 O194:O195 M194:M195 K194:K195 I194:I195 G194:G195 E194:E195" xr:uid="{00000000-0002-0000-0600-000001000000}">
      <formula1>0</formula1>
    </dataValidation>
    <dataValidation type="list" allowBlank="1" showInputMessage="1" showErrorMessage="1" sqref="N39 N187 N150 N113 N76" xr:uid="{00000000-0002-0000-0600-000002000000}">
      <formula1>$AB$21:$AB$23</formula1>
    </dataValidation>
  </dataValidations>
  <printOptions horizontalCentered="1" verticalCentered="1"/>
  <pageMargins left="0.23129251700680273" right="0.25" top="0.63" bottom="0.96598639455782309" header="0.30000000000000004" footer="0.15000000000000002"/>
  <pageSetup scale="85" orientation="landscape" horizontalDpi="4294967292" verticalDpi="4294967292"/>
  <headerFooter>
    <oddFooter>&amp;L_x000D__x000D__x000D__x000D_        &amp;G</oddFooter>
  </headerFooter>
  <rowBreaks count="5" manualBreakCount="5">
    <brk id="37" max="16383" man="1"/>
    <brk id="74" max="16383" man="1"/>
    <brk id="111" max="16383" man="1"/>
    <brk id="148" max="16383" man="1"/>
    <brk id="185" max="16383" man="1"/>
  </rowBreaks>
  <ignoredErrors>
    <ignoredError sqref="D4:P8 D10:P207 D9 M9:P9 F9:K9" formula="1"/>
  </ignoredErrors>
  <drawing r:id="rId1"/>
  <legacyDrawingHF r:id="rId2"/>
  <extLst>
    <ext xmlns:x14="http://schemas.microsoft.com/office/spreadsheetml/2009/9/main" uri="{78C0D931-6437-407d-A8EE-F0AAD7539E65}">
      <x14:conditionalFormattings>
        <x14:conditionalFormatting xmlns:xm="http://schemas.microsoft.com/office/excel/2006/main">
          <x14:cfRule type="cellIs" priority="73" operator="greaterThan" id="{5C911BAF-E676-654C-8C0A-903618035C46}">
            <xm:f>Data!$AC$6</xm:f>
            <x14:dxf>
              <font>
                <color theme="5" tint="0.59999389629810485"/>
              </font>
              <fill>
                <patternFill patternType="solid">
                  <fgColor indexed="64"/>
                  <bgColor rgb="FFFF0000"/>
                </patternFill>
              </fill>
              <border>
                <left/>
                <right/>
                <top/>
                <bottom/>
              </border>
            </x14:dxf>
          </x14:cfRule>
          <xm:sqref>D4 F4 H4</xm:sqref>
        </x14:conditionalFormatting>
        <x14:conditionalFormatting xmlns:xm="http://schemas.microsoft.com/office/excel/2006/main">
          <x14:cfRule type="cellIs" priority="72" operator="greaterThan" id="{A9AAEB1C-74B4-AE47-9A80-3A14517C5753}">
            <xm:f>Data!$AC$7</xm:f>
            <x14:dxf>
              <font>
                <color theme="5" tint="0.59999389629810485"/>
              </font>
              <fill>
                <patternFill patternType="solid">
                  <fgColor indexed="64"/>
                  <bgColor rgb="FFFF0000"/>
                </patternFill>
              </fill>
            </x14:dxf>
          </x14:cfRule>
          <xm:sqref>D14 F14 H14 J14 L14 N14</xm:sqref>
        </x14:conditionalFormatting>
        <x14:conditionalFormatting xmlns:xm="http://schemas.microsoft.com/office/excel/2006/main">
          <x14:cfRule type="cellIs" priority="71" operator="greaterThan" id="{22162C52-FB65-E542-B73B-266FC095E3C2}">
            <xm:f>Data!$AC$8</xm:f>
            <x14:dxf>
              <font>
                <color theme="5" tint="0.59999389629810485"/>
              </font>
              <fill>
                <patternFill patternType="solid">
                  <fgColor indexed="64"/>
                  <bgColor rgb="FFFF0000"/>
                </patternFill>
              </fill>
            </x14:dxf>
          </x14:cfRule>
          <xm:sqref>D16:D17 F16:F17 J16:J17 H16:H17 L16:L17 N16:N17</xm:sqref>
        </x14:conditionalFormatting>
        <x14:conditionalFormatting xmlns:xm="http://schemas.microsoft.com/office/excel/2006/main">
          <x14:cfRule type="cellIs" priority="68" operator="greaterThan" id="{966472CC-6C6B-1945-B653-10BF80DBC207}">
            <xm:f>Data!$AC$13</xm:f>
            <x14:dxf>
              <font>
                <color theme="5" tint="0.59999389629810485"/>
              </font>
              <fill>
                <patternFill patternType="solid">
                  <fgColor indexed="64"/>
                  <bgColor rgb="FFFF0000"/>
                </patternFill>
              </fill>
            </x14:dxf>
          </x14:cfRule>
          <xm:sqref>D22 F22 H22 J22 L22 N22 F59 H59 J59 L59 N59 F96 H96 J96 L96 N96 F133 H133 J133 L133 N133 F170 H170 J170 L170 N170 F207 H207 J207 L207 N207</xm:sqref>
        </x14:conditionalFormatting>
        <x14:conditionalFormatting xmlns:xm="http://schemas.microsoft.com/office/excel/2006/main">
          <x14:cfRule type="cellIs" priority="28" operator="greaterThan" id="{6D3EE2D3-EBDA-0645-9A41-B68F6E3A5D13}">
            <xm:f>Data!$AC$6</xm:f>
            <x14:dxf>
              <font>
                <color theme="5" tint="0.59999389629810485"/>
              </font>
              <fill>
                <patternFill patternType="solid">
                  <fgColor indexed="64"/>
                  <bgColor rgb="FFFF0000"/>
                </patternFill>
              </fill>
              <border>
                <left/>
                <right/>
                <top/>
                <bottom/>
              </border>
            </x14:dxf>
          </x14:cfRule>
          <xm:sqref>D41 F41 H41</xm:sqref>
        </x14:conditionalFormatting>
        <x14:conditionalFormatting xmlns:xm="http://schemas.microsoft.com/office/excel/2006/main">
          <x14:cfRule type="cellIs" priority="27" operator="greaterThan" id="{33DCD59F-612E-8446-A641-4D748C3C0774}">
            <xm:f>Data!$AC$7</xm:f>
            <x14:dxf>
              <font>
                <color theme="5" tint="0.59999389629810485"/>
              </font>
              <fill>
                <patternFill patternType="solid">
                  <fgColor indexed="64"/>
                  <bgColor rgb="FFFF0000"/>
                </patternFill>
              </fill>
            </x14:dxf>
          </x14:cfRule>
          <xm:sqref>D51 F51 H51 J51 L51 N51</xm:sqref>
        </x14:conditionalFormatting>
        <x14:conditionalFormatting xmlns:xm="http://schemas.microsoft.com/office/excel/2006/main">
          <x14:cfRule type="cellIs" priority="26" operator="greaterThan" id="{0D11AA5F-AC34-9C4D-A05A-3958750EFEBA}">
            <xm:f>Data!$AC$8</xm:f>
            <x14:dxf>
              <font>
                <color theme="5" tint="0.59999389629810485"/>
              </font>
              <fill>
                <patternFill patternType="solid">
                  <fgColor indexed="64"/>
                  <bgColor rgb="FFFF0000"/>
                </patternFill>
              </fill>
            </x14:dxf>
          </x14:cfRule>
          <xm:sqref>D53:D54 F53:F54 J53:J54 H53:H54 L53:L54 N53:N54</xm:sqref>
        </x14:conditionalFormatting>
        <x14:conditionalFormatting xmlns:xm="http://schemas.microsoft.com/office/excel/2006/main">
          <x14:cfRule type="cellIs" priority="25" operator="greaterThan" id="{1343E0CD-B1DB-4A42-BF4A-F7479766B69F}">
            <xm:f>Data!$AC$13</xm:f>
            <x14:dxf>
              <font>
                <color theme="5" tint="0.59999389629810485"/>
              </font>
              <fill>
                <patternFill patternType="solid">
                  <fgColor indexed="64"/>
                  <bgColor rgb="FFFF0000"/>
                </patternFill>
              </fill>
            </x14:dxf>
          </x14:cfRule>
          <xm:sqref>D59</xm:sqref>
        </x14:conditionalFormatting>
        <x14:conditionalFormatting xmlns:xm="http://schemas.microsoft.com/office/excel/2006/main">
          <x14:cfRule type="cellIs" priority="22" operator="greaterThan" id="{5B902FA9-579B-A141-87D2-E814FE6E5500}">
            <xm:f>Data!$AC$6</xm:f>
            <x14:dxf>
              <font>
                <color theme="5" tint="0.59999389629810485"/>
              </font>
              <fill>
                <patternFill patternType="solid">
                  <fgColor indexed="64"/>
                  <bgColor rgb="FFFF0000"/>
                </patternFill>
              </fill>
              <border>
                <left/>
                <right/>
                <top/>
                <bottom/>
              </border>
            </x14:dxf>
          </x14:cfRule>
          <xm:sqref>D78 F78 H78</xm:sqref>
        </x14:conditionalFormatting>
        <x14:conditionalFormatting xmlns:xm="http://schemas.microsoft.com/office/excel/2006/main">
          <x14:cfRule type="cellIs" priority="21" operator="greaterThan" id="{6DE1A715-5788-0945-8F01-DEF1FFC04113}">
            <xm:f>Data!$AC$7</xm:f>
            <x14:dxf>
              <font>
                <color theme="5" tint="0.59999389629810485"/>
              </font>
              <fill>
                <patternFill patternType="solid">
                  <fgColor indexed="64"/>
                  <bgColor rgb="FFFF0000"/>
                </patternFill>
              </fill>
            </x14:dxf>
          </x14:cfRule>
          <xm:sqref>D88 F88 H88 J88 L88 N88</xm:sqref>
        </x14:conditionalFormatting>
        <x14:conditionalFormatting xmlns:xm="http://schemas.microsoft.com/office/excel/2006/main">
          <x14:cfRule type="cellIs" priority="20" operator="greaterThan" id="{DB300BBC-D6C3-984E-AB89-04388149C476}">
            <xm:f>Data!$AC$8</xm:f>
            <x14:dxf>
              <font>
                <color theme="5" tint="0.59999389629810485"/>
              </font>
              <fill>
                <patternFill patternType="solid">
                  <fgColor indexed="64"/>
                  <bgColor rgb="FFFF0000"/>
                </patternFill>
              </fill>
            </x14:dxf>
          </x14:cfRule>
          <xm:sqref>D90:D91 F90:F91 J90:J91 H90:H91 L90:L91 N90:N91</xm:sqref>
        </x14:conditionalFormatting>
        <x14:conditionalFormatting xmlns:xm="http://schemas.microsoft.com/office/excel/2006/main">
          <x14:cfRule type="cellIs" priority="19" operator="greaterThan" id="{FFB1E342-6938-B04F-8236-ACFC6B66F550}">
            <xm:f>Data!$AC$13</xm:f>
            <x14:dxf>
              <font>
                <color theme="5" tint="0.59999389629810485"/>
              </font>
              <fill>
                <patternFill patternType="solid">
                  <fgColor indexed="64"/>
                  <bgColor rgb="FFFF0000"/>
                </patternFill>
              </fill>
            </x14:dxf>
          </x14:cfRule>
          <xm:sqref>D96</xm:sqref>
        </x14:conditionalFormatting>
        <x14:conditionalFormatting xmlns:xm="http://schemas.microsoft.com/office/excel/2006/main">
          <x14:cfRule type="cellIs" priority="16" operator="greaterThan" id="{9B909805-85DE-2440-8A45-5ACCF6465058}">
            <xm:f>Data!$AC$6</xm:f>
            <x14:dxf>
              <font>
                <color theme="5" tint="0.59999389629810485"/>
              </font>
              <fill>
                <patternFill patternType="solid">
                  <fgColor indexed="64"/>
                  <bgColor rgb="FFFF0000"/>
                </patternFill>
              </fill>
              <border>
                <left/>
                <right/>
                <top/>
                <bottom/>
              </border>
            </x14:dxf>
          </x14:cfRule>
          <xm:sqref>D115 F115 H115</xm:sqref>
        </x14:conditionalFormatting>
        <x14:conditionalFormatting xmlns:xm="http://schemas.microsoft.com/office/excel/2006/main">
          <x14:cfRule type="cellIs" priority="15" operator="greaterThan" id="{2E0FD051-86D2-8549-B84A-060E994CE5F6}">
            <xm:f>Data!$AC$7</xm:f>
            <x14:dxf>
              <font>
                <color theme="5" tint="0.59999389629810485"/>
              </font>
              <fill>
                <patternFill patternType="solid">
                  <fgColor indexed="64"/>
                  <bgColor rgb="FFFF0000"/>
                </patternFill>
              </fill>
            </x14:dxf>
          </x14:cfRule>
          <xm:sqref>D125 F125 H125 J125 L125 N125</xm:sqref>
        </x14:conditionalFormatting>
        <x14:conditionalFormatting xmlns:xm="http://schemas.microsoft.com/office/excel/2006/main">
          <x14:cfRule type="cellIs" priority="14" operator="greaterThan" id="{1DA91834-8303-8541-A625-3184F80D4100}">
            <xm:f>Data!$AC$8</xm:f>
            <x14:dxf>
              <font>
                <color theme="5" tint="0.59999389629810485"/>
              </font>
              <fill>
                <patternFill patternType="solid">
                  <fgColor indexed="64"/>
                  <bgColor rgb="FFFF0000"/>
                </patternFill>
              </fill>
            </x14:dxf>
          </x14:cfRule>
          <xm:sqref>D127:D128 F127:F128 J127:J128 H127:H128 L127:L128 N127:N128</xm:sqref>
        </x14:conditionalFormatting>
        <x14:conditionalFormatting xmlns:xm="http://schemas.microsoft.com/office/excel/2006/main">
          <x14:cfRule type="cellIs" priority="13" operator="greaterThan" id="{F7DF0868-9D40-1A48-9665-3C1994B172AB}">
            <xm:f>Data!$AC$13</xm:f>
            <x14:dxf>
              <font>
                <color theme="5" tint="0.59999389629810485"/>
              </font>
              <fill>
                <patternFill patternType="solid">
                  <fgColor indexed="64"/>
                  <bgColor rgb="FFFF0000"/>
                </patternFill>
              </fill>
            </x14:dxf>
          </x14:cfRule>
          <xm:sqref>D133</xm:sqref>
        </x14:conditionalFormatting>
        <x14:conditionalFormatting xmlns:xm="http://schemas.microsoft.com/office/excel/2006/main">
          <x14:cfRule type="cellIs" priority="10" operator="greaterThan" id="{645595CD-5980-E14F-9E8F-A2A587FA8686}">
            <xm:f>Data!$AC$6</xm:f>
            <x14:dxf>
              <font>
                <color theme="5" tint="0.59999389629810485"/>
              </font>
              <fill>
                <patternFill patternType="solid">
                  <fgColor indexed="64"/>
                  <bgColor rgb="FFFF0000"/>
                </patternFill>
              </fill>
              <border>
                <left/>
                <right/>
                <top/>
                <bottom/>
              </border>
            </x14:dxf>
          </x14:cfRule>
          <xm:sqref>D152 F152 H152</xm:sqref>
        </x14:conditionalFormatting>
        <x14:conditionalFormatting xmlns:xm="http://schemas.microsoft.com/office/excel/2006/main">
          <x14:cfRule type="cellIs" priority="9" operator="greaterThan" id="{53787A3C-9BF1-8242-B4A0-AF32ED8CE7BC}">
            <xm:f>Data!$AC$7</xm:f>
            <x14:dxf>
              <font>
                <color theme="5" tint="0.59999389629810485"/>
              </font>
              <fill>
                <patternFill patternType="solid">
                  <fgColor indexed="64"/>
                  <bgColor rgb="FFFF0000"/>
                </patternFill>
              </fill>
            </x14:dxf>
          </x14:cfRule>
          <xm:sqref>D162 F162 H162 J162 L162 N162</xm:sqref>
        </x14:conditionalFormatting>
        <x14:conditionalFormatting xmlns:xm="http://schemas.microsoft.com/office/excel/2006/main">
          <x14:cfRule type="cellIs" priority="8" operator="greaterThan" id="{3AA19FCD-2A11-5F43-A8C3-C076C96DD05B}">
            <xm:f>Data!$AC$8</xm:f>
            <x14:dxf>
              <font>
                <color theme="5" tint="0.59999389629810485"/>
              </font>
              <fill>
                <patternFill patternType="solid">
                  <fgColor indexed="64"/>
                  <bgColor rgb="FFFF0000"/>
                </patternFill>
              </fill>
            </x14:dxf>
          </x14:cfRule>
          <xm:sqref>D164:D165 F164:F165 J164:J165 H164:H165 L164:L165 N164:N165</xm:sqref>
        </x14:conditionalFormatting>
        <x14:conditionalFormatting xmlns:xm="http://schemas.microsoft.com/office/excel/2006/main">
          <x14:cfRule type="cellIs" priority="7" operator="greaterThan" id="{0D7C13E2-8904-3647-874B-9F453DCF2D5E}">
            <xm:f>Data!$AC$13</xm:f>
            <x14:dxf>
              <font>
                <color theme="5" tint="0.59999389629810485"/>
              </font>
              <fill>
                <patternFill patternType="solid">
                  <fgColor indexed="64"/>
                  <bgColor rgb="FFFF0000"/>
                </patternFill>
              </fill>
            </x14:dxf>
          </x14:cfRule>
          <xm:sqref>D170</xm:sqref>
        </x14:conditionalFormatting>
        <x14:conditionalFormatting xmlns:xm="http://schemas.microsoft.com/office/excel/2006/main">
          <x14:cfRule type="cellIs" priority="4" operator="greaterThan" id="{77FCD56B-D55D-AF4A-8AA4-FFBEB9D2A2F1}">
            <xm:f>Data!$AC$6</xm:f>
            <x14:dxf>
              <font>
                <color theme="5" tint="0.59999389629810485"/>
              </font>
              <fill>
                <patternFill patternType="solid">
                  <fgColor indexed="64"/>
                  <bgColor rgb="FFFF0000"/>
                </patternFill>
              </fill>
              <border>
                <left/>
                <right/>
                <top/>
                <bottom/>
              </border>
            </x14:dxf>
          </x14:cfRule>
          <xm:sqref>D189 F189 H189</xm:sqref>
        </x14:conditionalFormatting>
        <x14:conditionalFormatting xmlns:xm="http://schemas.microsoft.com/office/excel/2006/main">
          <x14:cfRule type="cellIs" priority="3" operator="greaterThan" id="{F7191650-3E80-B64E-9A6A-9CCE48A99AFD}">
            <xm:f>Data!$AC$7</xm:f>
            <x14:dxf>
              <font>
                <color theme="5" tint="0.59999389629810485"/>
              </font>
              <fill>
                <patternFill patternType="solid">
                  <fgColor indexed="64"/>
                  <bgColor rgb="FFFF0000"/>
                </patternFill>
              </fill>
            </x14:dxf>
          </x14:cfRule>
          <xm:sqref>D199 F199 H199 J199 L199 N199</xm:sqref>
        </x14:conditionalFormatting>
        <x14:conditionalFormatting xmlns:xm="http://schemas.microsoft.com/office/excel/2006/main">
          <x14:cfRule type="cellIs" priority="2" operator="greaterThan" id="{3ADDB036-BD53-FA4B-A8BA-61A268F962E0}">
            <xm:f>Data!$AC$8</xm:f>
            <x14:dxf>
              <font>
                <color theme="5" tint="0.59999389629810485"/>
              </font>
              <fill>
                <patternFill patternType="solid">
                  <fgColor indexed="64"/>
                  <bgColor rgb="FFFF0000"/>
                </patternFill>
              </fill>
            </x14:dxf>
          </x14:cfRule>
          <xm:sqref>D201:D202 F201:F202 J201:J202 H201:H202 L201:L202 N201:N202</xm:sqref>
        </x14:conditionalFormatting>
        <x14:conditionalFormatting xmlns:xm="http://schemas.microsoft.com/office/excel/2006/main">
          <x14:cfRule type="cellIs" priority="1" operator="greaterThan" id="{F8FCADAE-A1E1-F44F-855B-67357626F147}">
            <xm:f>Data!$AC$13</xm:f>
            <x14:dxf>
              <font>
                <color theme="5" tint="0.59999389629810485"/>
              </font>
              <fill>
                <patternFill patternType="solid">
                  <fgColor indexed="64"/>
                  <bgColor rgb="FFFF0000"/>
                </patternFill>
              </fill>
            </x14:dxf>
          </x14:cfRule>
          <xm:sqref>D207</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7000000}">
          <x14:formula1>
            <xm:f>Data!$AB$30:$AB$32</xm:f>
          </x14:formula1>
          <xm:sqref>N2</xm:sqref>
        </x14:dataValidation>
        <x14:dataValidation type="list" allowBlank="1" showInputMessage="1" showErrorMessage="1" xr:uid="{00000000-0002-0000-0600-000008000000}">
          <x14:formula1>
            <xm:f>Data!$R$4:$R$69</xm:f>
          </x14:formula1>
          <xm:sqref>D9:D10 D194:D195 F194:F195 H194:H195 J194:J195 L194:L195 N194:N195 D157:D158 F157:F158 H157:H158 J157:J158 L157:L158 N157:N158 D120:D121 F120:F121 H120:H121 J120:J121 L120:L121 N120:N121 D83:D84 F83:F84 H83:H84 J83:J84 L83:L84 N83:N84 D46:D47 F46:F47 H46:H47 J46:J47 L46:L47 N46:N47 N9:N10 L9:L10 J9:J10 H9:H10 F9:F10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theme="0" tint="-0.249977111117893"/>
  </sheetPr>
  <dimension ref="A1:AJ228"/>
  <sheetViews>
    <sheetView showGridLines="0" zoomScaleNormal="97" zoomScalePageLayoutView="97" workbookViewId="0">
      <selection activeCell="N9" sqref="N9"/>
    </sheetView>
  </sheetViews>
  <sheetFormatPr baseColWidth="10" defaultColWidth="0" defaultRowHeight="16" zeroHeight="1" x14ac:dyDescent="0.2"/>
  <cols>
    <col min="1" max="1" width="2.83203125" customWidth="1"/>
    <col min="2" max="2" width="15" customWidth="1"/>
    <col min="3" max="3" width="0.5" customWidth="1"/>
    <col min="4" max="4" width="7.1640625" customWidth="1"/>
    <col min="5" max="5" width="5.6640625" customWidth="1"/>
    <col min="6" max="6" width="7.1640625" customWidth="1"/>
    <col min="7" max="7" width="5.6640625" customWidth="1"/>
    <col min="8" max="8" width="7.1640625" customWidth="1"/>
    <col min="9" max="9" width="5.6640625" customWidth="1"/>
    <col min="10" max="10" width="7.1640625" customWidth="1"/>
    <col min="11" max="11" width="5.6640625" customWidth="1"/>
    <col min="12" max="12" width="7.1640625" customWidth="1"/>
    <col min="13" max="13" width="5.6640625" customWidth="1"/>
    <col min="14" max="14" width="7.1640625" customWidth="1"/>
    <col min="15" max="15" width="5.6640625" customWidth="1"/>
    <col min="16" max="16" width="7.1640625" customWidth="1"/>
    <col min="17" max="17" width="5.6640625" customWidth="1"/>
    <col min="18" max="18" width="7.1640625" customWidth="1"/>
    <col min="19" max="19" width="5.6640625" customWidth="1"/>
    <col min="20" max="20" width="2.83203125" customWidth="1"/>
    <col min="21" max="46" width="10.83203125" hidden="1" customWidth="1"/>
    <col min="47" max="16384" width="10.83203125" hidden="1"/>
  </cols>
  <sheetData>
    <row r="1" spans="1:23" ht="17" thickBot="1" x14ac:dyDescent="0.25">
      <c r="A1" s="1"/>
      <c r="B1" s="1"/>
      <c r="C1" s="1"/>
      <c r="D1" s="1"/>
      <c r="E1" s="1"/>
      <c r="F1" s="1"/>
      <c r="G1" s="1"/>
      <c r="H1" s="1"/>
      <c r="I1" s="1"/>
      <c r="J1" s="1"/>
      <c r="K1" s="1"/>
      <c r="L1" s="1"/>
      <c r="M1" s="1"/>
      <c r="N1" s="1"/>
      <c r="O1" s="1"/>
      <c r="P1" s="1"/>
      <c r="Q1" s="1"/>
      <c r="R1" s="1"/>
      <c r="S1" s="126" t="str">
        <f>Data!$M$1</f>
        <v>06.257.005.01 C</v>
      </c>
      <c r="T1" s="1"/>
    </row>
    <row r="2" spans="1:23" x14ac:dyDescent="0.2">
      <c r="A2" s="1"/>
      <c r="B2" s="10" t="s">
        <v>192</v>
      </c>
      <c r="C2" s="1"/>
      <c r="D2" s="11" t="s">
        <v>239</v>
      </c>
      <c r="E2" s="154">
        <f>'Master EU'!$N$5</f>
        <v>230</v>
      </c>
      <c r="F2" s="1"/>
      <c r="G2" s="1"/>
      <c r="H2" s="572" t="s">
        <v>240</v>
      </c>
      <c r="I2" s="573"/>
      <c r="J2" s="7"/>
      <c r="K2" s="55"/>
      <c r="L2" s="1"/>
      <c r="M2" s="1"/>
      <c r="N2" s="53" t="s">
        <v>241</v>
      </c>
      <c r="O2" s="54"/>
      <c r="P2" s="27" t="s">
        <v>194</v>
      </c>
      <c r="Q2" s="27"/>
      <c r="R2" s="31">
        <v>2.5</v>
      </c>
      <c r="S2" s="30" t="s">
        <v>107</v>
      </c>
      <c r="T2" s="1"/>
    </row>
    <row r="3" spans="1:23" ht="5" customHeight="1" x14ac:dyDescent="0.25">
      <c r="A3" s="1"/>
      <c r="B3" s="2"/>
      <c r="C3" s="1"/>
      <c r="D3" s="5"/>
      <c r="E3" s="7"/>
      <c r="F3" s="1"/>
      <c r="G3" s="8"/>
      <c r="H3" s="56"/>
      <c r="I3" s="57"/>
      <c r="J3" s="1"/>
      <c r="K3" s="1"/>
      <c r="L3" s="7"/>
      <c r="M3" s="8"/>
      <c r="N3" s="58"/>
      <c r="O3" s="59"/>
      <c r="P3" s="1"/>
      <c r="Q3" s="1"/>
      <c r="R3" s="1"/>
      <c r="S3" s="1"/>
      <c r="T3" s="1"/>
    </row>
    <row r="4" spans="1:23" ht="15" customHeight="1" x14ac:dyDescent="0.2">
      <c r="A4" s="1"/>
      <c r="B4" s="23" t="str">
        <f>_xlfn.TEXTJOIN("",FALSE,"MLTC + ",'Master EU'!D11,"%")</f>
        <v>MLTC + 30%</v>
      </c>
      <c r="C4" s="1"/>
      <c r="D4" s="25">
        <f>(D14+F14+H14+J14+L14+N14+P14+R14)*(1+('Master EU'!D11/100))</f>
        <v>23.919999999999998</v>
      </c>
      <c r="E4" s="13" t="str">
        <f>IF(D4&gt;Data!$AC$22,"&lt;OVER!","A RMS")</f>
        <v>A RMS</v>
      </c>
      <c r="F4" s="580" t="s">
        <v>242</v>
      </c>
      <c r="G4" s="581"/>
      <c r="H4" s="48">
        <f>D14+F14+H14+J14</f>
        <v>9.6000000000000014</v>
      </c>
      <c r="I4" s="49" t="str">
        <f>IF(H4&gt;Data!$AC$23,"&lt;OVER!","A RMS")</f>
        <v>A RMS</v>
      </c>
      <c r="J4" s="574" t="s">
        <v>109</v>
      </c>
      <c r="K4" s="575"/>
      <c r="L4" s="575"/>
      <c r="M4" s="576"/>
      <c r="N4" s="48">
        <f>L14+N14+P14+R14</f>
        <v>8.8000000000000007</v>
      </c>
      <c r="O4" s="49" t="str">
        <f>IF(N4&gt;Data!$AC$23,"&lt;OVER!","A RMS")</f>
        <v>A RMS</v>
      </c>
      <c r="P4" s="1"/>
      <c r="Q4" s="562" t="str">
        <f>IF('EU MDM-832'!W14&gt;0,"N O !","O K")</f>
        <v>O K</v>
      </c>
      <c r="R4" s="563"/>
      <c r="S4" s="568">
        <v>1</v>
      </c>
      <c r="T4" s="569"/>
    </row>
    <row r="5" spans="1:23" ht="15" customHeight="1" x14ac:dyDescent="0.2">
      <c r="A5" s="1"/>
      <c r="B5" s="23" t="s">
        <v>199</v>
      </c>
      <c r="C5" s="1"/>
      <c r="D5" s="25">
        <f>(D15+F15+H15+J15+L15+N15+P15+R15)</f>
        <v>32.4</v>
      </c>
      <c r="E5" s="13" t="s">
        <v>116</v>
      </c>
      <c r="F5" s="580"/>
      <c r="G5" s="581"/>
      <c r="H5" s="48">
        <f>D15+F15+H15+J15</f>
        <v>13.200000000000001</v>
      </c>
      <c r="I5" s="50" t="s">
        <v>243</v>
      </c>
      <c r="J5" s="577" t="s">
        <v>110</v>
      </c>
      <c r="K5" s="578"/>
      <c r="L5" s="578"/>
      <c r="M5" s="579"/>
      <c r="N5" s="48">
        <f>L15+N15+P15+R15</f>
        <v>19.2</v>
      </c>
      <c r="O5" s="50" t="s">
        <v>243</v>
      </c>
      <c r="P5" s="1"/>
      <c r="Q5" s="564"/>
      <c r="R5" s="565"/>
      <c r="S5" s="568"/>
      <c r="T5" s="569"/>
    </row>
    <row r="6" spans="1:23" ht="15" customHeight="1" thickBot="1" x14ac:dyDescent="0.25">
      <c r="A6" s="1"/>
      <c r="B6" s="24" t="s">
        <v>200</v>
      </c>
      <c r="C6" s="1"/>
      <c r="D6" s="26">
        <f>(D16+F16+H16+J16+L16+N16+P16+R16)</f>
        <v>53.999999999999986</v>
      </c>
      <c r="E6" s="60" t="s">
        <v>117</v>
      </c>
      <c r="F6" s="580"/>
      <c r="G6" s="581"/>
      <c r="H6" s="51">
        <f>D16+F16+H16+J16</f>
        <v>34.799999999999997</v>
      </c>
      <c r="I6" s="52" t="str">
        <f>IF(H6&gt;Data!$AC$24,"&lt;OVER!","A Pk")</f>
        <v>A Pk</v>
      </c>
      <c r="J6" s="577" t="s">
        <v>200</v>
      </c>
      <c r="K6" s="578"/>
      <c r="L6" s="578"/>
      <c r="M6" s="579"/>
      <c r="N6" s="51">
        <f>L16+N16+P16+R16</f>
        <v>19.2</v>
      </c>
      <c r="O6" s="52" t="str">
        <f>IF(N6&gt;Data!$AC$24,"&lt;OVER!","A Pk")</f>
        <v>A Pk</v>
      </c>
      <c r="P6" s="1"/>
      <c r="Q6" s="566"/>
      <c r="R6" s="567"/>
      <c r="S6" s="568"/>
      <c r="T6" s="569"/>
    </row>
    <row r="7" spans="1:23" ht="8" customHeight="1" thickBot="1" x14ac:dyDescent="0.25">
      <c r="A7" s="1"/>
      <c r="B7" s="1"/>
      <c r="C7" s="1"/>
      <c r="D7" s="1"/>
      <c r="E7" s="1"/>
      <c r="F7" s="1"/>
      <c r="G7" s="1"/>
      <c r="H7" s="1"/>
      <c r="I7" s="1"/>
      <c r="J7" s="1"/>
      <c r="K7" s="1"/>
      <c r="L7" s="1"/>
      <c r="M7" s="1"/>
      <c r="N7" s="1"/>
      <c r="O7" s="1"/>
      <c r="P7" s="1"/>
      <c r="Q7" s="1"/>
      <c r="R7" s="1"/>
      <c r="S7" s="1"/>
      <c r="T7" s="1"/>
    </row>
    <row r="8" spans="1:23" x14ac:dyDescent="0.2">
      <c r="A8" s="1"/>
      <c r="B8" s="10" t="s">
        <v>203</v>
      </c>
      <c r="C8" s="1"/>
      <c r="D8" s="560">
        <v>1</v>
      </c>
      <c r="E8" s="561"/>
      <c r="F8" s="553">
        <v>2</v>
      </c>
      <c r="G8" s="561"/>
      <c r="H8" s="553">
        <v>3</v>
      </c>
      <c r="I8" s="561"/>
      <c r="J8" s="553">
        <v>4</v>
      </c>
      <c r="K8" s="554"/>
      <c r="L8" s="560">
        <v>5</v>
      </c>
      <c r="M8" s="561"/>
      <c r="N8" s="553">
        <v>6</v>
      </c>
      <c r="O8" s="561"/>
      <c r="P8" s="553">
        <v>7</v>
      </c>
      <c r="Q8" s="561"/>
      <c r="R8" s="553">
        <v>8</v>
      </c>
      <c r="S8" s="554"/>
      <c r="T8" s="1"/>
      <c r="V8" t="s">
        <v>244</v>
      </c>
    </row>
    <row r="9" spans="1:23" x14ac:dyDescent="0.2">
      <c r="A9" s="1"/>
      <c r="B9" s="23" t="s">
        <v>205</v>
      </c>
      <c r="C9" s="1"/>
      <c r="D9" s="61" t="s">
        <v>245</v>
      </c>
      <c r="E9" s="62">
        <v>3</v>
      </c>
      <c r="F9" s="63" t="s">
        <v>245</v>
      </c>
      <c r="G9" s="62">
        <v>3</v>
      </c>
      <c r="H9" s="63" t="s">
        <v>245</v>
      </c>
      <c r="I9" s="62">
        <v>3</v>
      </c>
      <c r="J9" s="63" t="s">
        <v>245</v>
      </c>
      <c r="K9" s="64">
        <v>3</v>
      </c>
      <c r="L9" s="61" t="s">
        <v>246</v>
      </c>
      <c r="M9" s="62">
        <v>2</v>
      </c>
      <c r="N9" s="63" t="s">
        <v>246</v>
      </c>
      <c r="O9" s="62">
        <v>2</v>
      </c>
      <c r="P9" s="63" t="s">
        <v>246</v>
      </c>
      <c r="Q9" s="62">
        <v>2</v>
      </c>
      <c r="R9" s="63" t="s">
        <v>246</v>
      </c>
      <c r="S9" s="64">
        <v>2</v>
      </c>
      <c r="T9" s="1"/>
      <c r="V9" t="s">
        <v>162</v>
      </c>
      <c r="W9">
        <f>IF('EU MDM-832'!D4&gt;Data!$AC$22,1,0)</f>
        <v>0</v>
      </c>
    </row>
    <row r="10" spans="1:23" x14ac:dyDescent="0.2">
      <c r="A10" s="1"/>
      <c r="B10" s="23" t="s">
        <v>205</v>
      </c>
      <c r="C10" s="1"/>
      <c r="D10" s="65" t="s">
        <v>127</v>
      </c>
      <c r="E10" s="62">
        <v>0</v>
      </c>
      <c r="F10" s="66" t="s">
        <v>127</v>
      </c>
      <c r="G10" s="62">
        <v>0</v>
      </c>
      <c r="H10" s="66" t="s">
        <v>127</v>
      </c>
      <c r="I10" s="62">
        <v>0</v>
      </c>
      <c r="J10" s="66" t="s">
        <v>127</v>
      </c>
      <c r="K10" s="64">
        <v>0</v>
      </c>
      <c r="L10" s="65" t="s">
        <v>127</v>
      </c>
      <c r="M10" s="62">
        <v>0</v>
      </c>
      <c r="N10" s="66" t="s">
        <v>127</v>
      </c>
      <c r="O10" s="62">
        <v>0</v>
      </c>
      <c r="P10" s="66" t="s">
        <v>127</v>
      </c>
      <c r="Q10" s="62">
        <v>0</v>
      </c>
      <c r="R10" s="66" t="s">
        <v>127</v>
      </c>
      <c r="S10" s="64">
        <v>0</v>
      </c>
      <c r="T10" s="1"/>
      <c r="V10" t="s">
        <v>201</v>
      </c>
      <c r="W10">
        <f>IF(OR('EU MDM-832'!H4&gt;Data!$AC$23,'EU MDM-832'!N4&gt;Data!$AC$23,),1,0)</f>
        <v>0</v>
      </c>
    </row>
    <row r="11" spans="1:23" x14ac:dyDescent="0.2">
      <c r="A11" s="1"/>
      <c r="B11" s="23" t="s">
        <v>121</v>
      </c>
      <c r="C11" s="1"/>
      <c r="D11" s="68">
        <v>30</v>
      </c>
      <c r="E11" s="29" t="s">
        <v>209</v>
      </c>
      <c r="F11" s="67">
        <v>30</v>
      </c>
      <c r="G11" s="29" t="s">
        <v>209</v>
      </c>
      <c r="H11" s="67">
        <v>30</v>
      </c>
      <c r="I11" s="29" t="s">
        <v>209</v>
      </c>
      <c r="J11" s="67">
        <v>30</v>
      </c>
      <c r="K11" s="28" t="s">
        <v>209</v>
      </c>
      <c r="L11" s="68">
        <v>30</v>
      </c>
      <c r="M11" s="29" t="s">
        <v>209</v>
      </c>
      <c r="N11" s="67">
        <v>30</v>
      </c>
      <c r="O11" s="29" t="s">
        <v>209</v>
      </c>
      <c r="P11" s="67">
        <v>30</v>
      </c>
      <c r="Q11" s="29" t="s">
        <v>209</v>
      </c>
      <c r="R11" s="67">
        <v>30</v>
      </c>
      <c r="S11" s="28" t="s">
        <v>209</v>
      </c>
      <c r="T11" s="1"/>
      <c r="V11" t="s">
        <v>202</v>
      </c>
      <c r="W11">
        <f>IF(OR('EU MDM-832'!H6&gt;Data!$AC$24,'EU MDM-832'!N6&gt;Data!$AC$24,),1,0)</f>
        <v>0</v>
      </c>
    </row>
    <row r="12" spans="1:23" ht="11" customHeight="1" x14ac:dyDescent="0.2">
      <c r="A12" s="1"/>
      <c r="B12" s="2"/>
      <c r="C12" s="1"/>
      <c r="D12" s="555" t="s">
        <v>210</v>
      </c>
      <c r="E12" s="556"/>
      <c r="F12" s="556"/>
      <c r="G12" s="556"/>
      <c r="H12" s="556"/>
      <c r="I12" s="556"/>
      <c r="J12" s="556"/>
      <c r="K12" s="558"/>
      <c r="L12" s="555" t="s">
        <v>210</v>
      </c>
      <c r="M12" s="556"/>
      <c r="N12" s="556"/>
      <c r="O12" s="556"/>
      <c r="P12" s="556"/>
      <c r="Q12" s="556"/>
      <c r="R12" s="556"/>
      <c r="S12" s="558"/>
      <c r="T12" s="1"/>
      <c r="V12" t="s">
        <v>204</v>
      </c>
      <c r="W12">
        <f>IF(OR('EU MDM-832'!D22&gt;Data!$AC$27,'EU MDM-832'!F22&gt;Data!$AC$27,'EU MDM-832'!H22&gt;Data!$AC$27,'EU MDM-832'!J22&gt;Data!$AC$27,'EU MDM-832'!L22&gt;Data!$AC$27,'EU MDM-832'!N22&gt;Data!$AC$27,'EU MDM-832'!P22&gt;Data!$AC$27,'EU MDM-832'!R22&gt;Data!$AC$27),1,0)</f>
        <v>0</v>
      </c>
    </row>
    <row r="13" spans="1:23" ht="6" customHeight="1" x14ac:dyDescent="0.2">
      <c r="A13" s="1"/>
      <c r="B13" s="2"/>
      <c r="C13" s="1"/>
      <c r="D13" s="3"/>
      <c r="E13" s="4"/>
      <c r="F13" s="5"/>
      <c r="G13" s="4"/>
      <c r="H13" s="5"/>
      <c r="I13" s="4"/>
      <c r="J13" s="5"/>
      <c r="K13" s="6"/>
      <c r="L13" s="3"/>
      <c r="M13" s="4"/>
      <c r="N13" s="5"/>
      <c r="O13" s="4"/>
      <c r="P13" s="5"/>
      <c r="Q13" s="4"/>
      <c r="R13" s="5"/>
      <c r="S13" s="6"/>
      <c r="T13" s="1"/>
    </row>
    <row r="14" spans="1:23" x14ac:dyDescent="0.2">
      <c r="A14" s="1"/>
      <c r="B14" s="23" t="s">
        <v>211</v>
      </c>
      <c r="C14" s="1"/>
      <c r="D14" s="12">
        <f>(((VLOOKUP(D9,Data!$R$4:$U$62,2,FALSE)*E9)+(VLOOKUP(D10,Data!$R$4:$U$62,2,FALSE)*E10))/E2)*Data!$R$3</f>
        <v>2.4000000000000004</v>
      </c>
      <c r="E14" s="13" t="str">
        <f>IF(H4&gt;Data!$AC$23,"&lt;&lt;&lt;","A RMS")</f>
        <v>A RMS</v>
      </c>
      <c r="F14" s="14">
        <f>(((VLOOKUP(F9,Data!$R$4:$U$62,2,FALSE)*G9)+(VLOOKUP(F10,Data!$R$4:$U$62,2,FALSE)*G10))/E2)*Data!$R$3</f>
        <v>2.4000000000000004</v>
      </c>
      <c r="G14" s="13" t="str">
        <f>IF(H4&gt;Data!$AC$23,"&lt;&lt;&lt;","A RMS")</f>
        <v>A RMS</v>
      </c>
      <c r="H14" s="14">
        <f>(((VLOOKUP(H9,Data!$R$4:$U$62,2,FALSE)*I9)+(VLOOKUP(H10,Data!$R$4:$U$62,2,FALSE)*I10))/E2)*Data!$R$3</f>
        <v>2.4000000000000004</v>
      </c>
      <c r="I14" s="13" t="str">
        <f>IF(H4&gt;Data!$AC$23,"&lt;&lt;&lt;","A RMS")</f>
        <v>A RMS</v>
      </c>
      <c r="J14" s="14">
        <f>(((VLOOKUP(J9,Data!$R$4:$U$62,2,FALSE)*K9)+(VLOOKUP(J10,Data!$R$4:$U$62,2,FALSE)*K10))/E2)*Data!$R$3</f>
        <v>2.4000000000000004</v>
      </c>
      <c r="K14" s="15" t="str">
        <f>IF(H4&gt;Data!$AC$23,"&lt;&lt;&lt;","A RMS")</f>
        <v>A RMS</v>
      </c>
      <c r="L14" s="12">
        <f>(((VLOOKUP(L9,Data!$R$4:$U$62,2,FALSE)*M9)+(VLOOKUP(L10,Data!$R$4:$U$62,2,FALSE)*M10))/E2)*Data!$R$3</f>
        <v>2.2000000000000002</v>
      </c>
      <c r="M14" s="13" t="str">
        <f>IF(N4&gt;Data!$AC$23,"&lt;&lt;&lt;","A RMS")</f>
        <v>A RMS</v>
      </c>
      <c r="N14" s="14">
        <f>(((VLOOKUP(N9,Data!$R$4:$U$62,2,FALSE)*O9)+(VLOOKUP(N10,Data!$R$4:$U$62,2,FALSE)*O10))/E2)*Data!$R$3</f>
        <v>2.2000000000000002</v>
      </c>
      <c r="O14" s="13" t="str">
        <f>IF(N4&gt;Data!$AC$23,"&lt;&lt;&lt;","A RMS")</f>
        <v>A RMS</v>
      </c>
      <c r="P14" s="14">
        <f>(((VLOOKUP(P9,Data!$R$4:$U$62,2,FALSE)*Q9)+(VLOOKUP(P10,Data!$R$4:$U$62,2,FALSE)*Q10))/E2)*Data!$R$3</f>
        <v>2.2000000000000002</v>
      </c>
      <c r="Q14" s="13" t="str">
        <f>IF(N4&gt;Data!$AC$23,"&lt;&lt;&lt;","A RMS")</f>
        <v>A RMS</v>
      </c>
      <c r="R14" s="14">
        <f>(((VLOOKUP(R9,Data!$R$4:$U$62,2,FALSE)*S9)+(VLOOKUP(R10,Data!$R$4:$U$62,2,FALSE)*S10))/E2)*Data!$R$3</f>
        <v>2.2000000000000002</v>
      </c>
      <c r="S14" s="15" t="str">
        <f>IF(N4&gt;Data!$AC$23,"&lt;&lt;&lt;","A RMS")</f>
        <v>A RMS</v>
      </c>
      <c r="T14" s="1"/>
      <c r="V14" t="s">
        <v>208</v>
      </c>
      <c r="W14">
        <f>SUM(W9:W12)</f>
        <v>0</v>
      </c>
    </row>
    <row r="15" spans="1:23" x14ac:dyDescent="0.2">
      <c r="A15" s="1"/>
      <c r="B15" s="23" t="s">
        <v>199</v>
      </c>
      <c r="C15" s="1"/>
      <c r="D15" s="12">
        <f>(((VLOOKUP(D9,Data!$R$4:$U$62,3,FALSE)*E9)+(VLOOKUP(D10,Data!$R$4:$U$62,3,FALSE)*E10))/E2)*Data!$R$3</f>
        <v>3.3000000000000003</v>
      </c>
      <c r="E15" s="13" t="s">
        <v>116</v>
      </c>
      <c r="F15" s="14">
        <f>(((VLOOKUP(F9,Data!$R$4:$U$62,3,FALSE)*G9)+(VLOOKUP(F10,Data!$R$4:$U$62,3,FALSE)*G10))/E2)*Data!$R$3</f>
        <v>3.3000000000000003</v>
      </c>
      <c r="G15" s="13" t="s">
        <v>116</v>
      </c>
      <c r="H15" s="14">
        <f>(((VLOOKUP(H9,Data!$R$4:$U$62,3,FALSE)*I9)+(VLOOKUP(H10,Data!$R$4:$U$62,3,FALSE)*I10))/E2)*Data!$R$3</f>
        <v>3.3000000000000003</v>
      </c>
      <c r="I15" s="13" t="s">
        <v>116</v>
      </c>
      <c r="J15" s="14">
        <f>(((VLOOKUP(J9,Data!$R$4:$U$62,3,FALSE)*K9)+(VLOOKUP(J10,Data!$R$4:$U$62,3,FALSE)*K10))/E2)*Data!$R$3</f>
        <v>3.3000000000000003</v>
      </c>
      <c r="K15" s="15" t="s">
        <v>116</v>
      </c>
      <c r="L15" s="12">
        <f>(((VLOOKUP(L9,Data!$R$4:$U$62,3,FALSE)*M9)+(VLOOKUP(L10,Data!$R$4:$U$62,3,FALSE)*M10))/E2)*Data!$R$3</f>
        <v>4.8</v>
      </c>
      <c r="M15" s="13" t="s">
        <v>116</v>
      </c>
      <c r="N15" s="14">
        <f>(((VLOOKUP(N9,Data!$R$4:$U$62,3,FALSE)*O9)+(VLOOKUP(N10,Data!$R$4:$U$62,3,FALSE)*O10))/E2)*Data!$R$3</f>
        <v>4.8</v>
      </c>
      <c r="O15" s="13" t="s">
        <v>116</v>
      </c>
      <c r="P15" s="14">
        <f>(((VLOOKUP(P9,Data!$R$4:$U$62,3,FALSE)*Q9)+(VLOOKUP(P10,Data!$R$4:$U$62,3,FALSE)*Q10))/E2)*Data!$R$3</f>
        <v>4.8</v>
      </c>
      <c r="Q15" s="13" t="s">
        <v>116</v>
      </c>
      <c r="R15" s="14">
        <f>(((VLOOKUP(R9,Data!$R$4:$U$62,3,FALSE)*S9)+(VLOOKUP(R10,Data!$R$4:$U$62,3,FALSE)*S10))/E2)*Data!$R$3</f>
        <v>4.8</v>
      </c>
      <c r="S15" s="15" t="s">
        <v>116</v>
      </c>
      <c r="T15" s="1"/>
    </row>
    <row r="16" spans="1:23" x14ac:dyDescent="0.2">
      <c r="A16" s="1"/>
      <c r="B16" s="23" t="s">
        <v>200</v>
      </c>
      <c r="C16" s="1"/>
      <c r="D16" s="12">
        <f>(((VLOOKUP(D9,Data!$R$4:$U$62,4,FALSE)*E9)+(VLOOKUP(D10,Data!$R$4:$U$62,4,FALSE)*E10))/E2)*Data!$R$3</f>
        <v>8.6999999999999993</v>
      </c>
      <c r="E16" s="13" t="s">
        <v>117</v>
      </c>
      <c r="F16" s="14">
        <f>(((VLOOKUP(F9,Data!$R$4:$U$62,4,FALSE)*G9)+(VLOOKUP(F10,Data!$R$4:$U$62,4,FALSE)*G10))/E2)*Data!$R$3</f>
        <v>8.6999999999999993</v>
      </c>
      <c r="G16" s="13" t="s">
        <v>117</v>
      </c>
      <c r="H16" s="14">
        <f>(((VLOOKUP(H9,Data!$R$4:$U$62,4,FALSE)*I9)+(VLOOKUP(H10,Data!$R$4:$U$62,4,FALSE)*I10))/E2)*Data!$R$3</f>
        <v>8.6999999999999993</v>
      </c>
      <c r="I16" s="13" t="s">
        <v>117</v>
      </c>
      <c r="J16" s="14">
        <f>(((VLOOKUP(J9,Data!$R$4:$U$62,4,FALSE)*K9)+(VLOOKUP(J10,Data!$R$4:$U$62,4,FALSE)*K10))/E2)*Data!$R$3</f>
        <v>8.6999999999999993</v>
      </c>
      <c r="K16" s="15" t="s">
        <v>117</v>
      </c>
      <c r="L16" s="12">
        <f>(((VLOOKUP(L9,Data!$R$4:$U$62,4,FALSE)*M9)+(VLOOKUP(L10,Data!$R$4:$U$62,4,FALSE)*M10))/E2)*Data!$R$3</f>
        <v>4.8</v>
      </c>
      <c r="M16" s="13" t="s">
        <v>117</v>
      </c>
      <c r="N16" s="14">
        <f>(((VLOOKUP(N9,Data!$R$4:$U$62,4,FALSE)*O9)+(VLOOKUP(N10,Data!$R$4:$U$62,4,FALSE)*O10))/E2)*Data!$R$3</f>
        <v>4.8</v>
      </c>
      <c r="O16" s="13" t="s">
        <v>117</v>
      </c>
      <c r="P16" s="14">
        <f>(((VLOOKUP(P9,Data!$R$4:$U$62,4,FALSE)*Q9)+(VLOOKUP(P10,Data!$R$4:$U$62,4,FALSE)*Q10))/E2)*Data!$R$3</f>
        <v>4.8</v>
      </c>
      <c r="Q16" s="13" t="s">
        <v>117</v>
      </c>
      <c r="R16" s="14">
        <f>(((VLOOKUP(R9,Data!$R$4:$U$62,4,FALSE)*S9)+(VLOOKUP(R10,Data!$R$4:$U$62,4,FALSE)*S10))/E2)*Data!$R$3</f>
        <v>4.8</v>
      </c>
      <c r="S16" s="15" t="s">
        <v>117</v>
      </c>
      <c r="T16" s="1"/>
    </row>
    <row r="17" spans="1:36" ht="6" customHeight="1" x14ac:dyDescent="0.2">
      <c r="A17" s="1"/>
      <c r="B17" s="2"/>
      <c r="C17" s="1"/>
      <c r="D17" s="43"/>
      <c r="E17" s="44"/>
      <c r="F17" s="45"/>
      <c r="G17" s="44"/>
      <c r="H17" s="45"/>
      <c r="I17" s="44"/>
      <c r="J17" s="45"/>
      <c r="K17" s="46"/>
      <c r="L17" s="43"/>
      <c r="M17" s="44"/>
      <c r="N17" s="45"/>
      <c r="O17" s="47"/>
      <c r="P17" s="45"/>
      <c r="Q17" s="44"/>
      <c r="R17" s="45"/>
      <c r="S17" s="46"/>
      <c r="T17" s="1"/>
    </row>
    <row r="18" spans="1:36" x14ac:dyDescent="0.2">
      <c r="A18" s="1"/>
      <c r="B18" s="23" t="s">
        <v>212</v>
      </c>
      <c r="C18" s="1"/>
      <c r="D18" s="17">
        <f>(17*(10^-8))*((2*D11)/(R2*(10^-5)))</f>
        <v>0.40800000000000003</v>
      </c>
      <c r="E18" s="16" t="s">
        <v>213</v>
      </c>
      <c r="F18" s="18">
        <f>(17*(10^-8))*((2*F11)/(R2*(10^-5)))</f>
        <v>0.40800000000000003</v>
      </c>
      <c r="G18" s="16" t="s">
        <v>213</v>
      </c>
      <c r="H18" s="18">
        <f>(17*(10^-8))*((2*H11)/(R2*(10^-5)))</f>
        <v>0.40800000000000003</v>
      </c>
      <c r="I18" s="16" t="s">
        <v>213</v>
      </c>
      <c r="J18" s="18">
        <f>(17*(10^-8))*((2*J11)/(R2*(10^-5)))</f>
        <v>0.40800000000000003</v>
      </c>
      <c r="K18" s="15" t="s">
        <v>213</v>
      </c>
      <c r="L18" s="17">
        <f>(17*(10^-8))*((2*L11)/(R2*(10^-5)))</f>
        <v>0.40800000000000003</v>
      </c>
      <c r="M18" s="16" t="s">
        <v>213</v>
      </c>
      <c r="N18" s="18">
        <f>(17*(10^-8))*((2*N11)/(R2*(10^-5)))</f>
        <v>0.40800000000000003</v>
      </c>
      <c r="O18" s="13" t="s">
        <v>213</v>
      </c>
      <c r="P18" s="18">
        <f>(17*(10^-8))*((2*P11)/(R2*(10^-5)))</f>
        <v>0.40800000000000003</v>
      </c>
      <c r="Q18" s="16" t="s">
        <v>213</v>
      </c>
      <c r="R18" s="18">
        <f>(17*(10^-8))*((2*R11)/(R2*(10^-5)))</f>
        <v>0.40800000000000003</v>
      </c>
      <c r="S18" s="15" t="s">
        <v>213</v>
      </c>
      <c r="T18" s="1"/>
    </row>
    <row r="19" spans="1:36" x14ac:dyDescent="0.2">
      <c r="A19" s="1"/>
      <c r="B19" s="23" t="s">
        <v>214</v>
      </c>
      <c r="C19" s="1"/>
      <c r="D19" s="19">
        <f>E2*SQRT(2)</f>
        <v>325.26911934581187</v>
      </c>
      <c r="E19" s="16" t="s">
        <v>215</v>
      </c>
      <c r="F19" s="20">
        <f>E2*SQRT(2)</f>
        <v>325.26911934581187</v>
      </c>
      <c r="G19" s="16" t="s">
        <v>215</v>
      </c>
      <c r="H19" s="20">
        <f>E2*SQRT(2)</f>
        <v>325.26911934581187</v>
      </c>
      <c r="I19" s="16" t="s">
        <v>215</v>
      </c>
      <c r="J19" s="20">
        <f>E2*SQRT(2)</f>
        <v>325.26911934581187</v>
      </c>
      <c r="K19" s="15" t="s">
        <v>215</v>
      </c>
      <c r="L19" s="19">
        <f>E2*SQRT(2)</f>
        <v>325.26911934581187</v>
      </c>
      <c r="M19" s="16" t="s">
        <v>215</v>
      </c>
      <c r="N19" s="20">
        <f>E2*SQRT(2)</f>
        <v>325.26911934581187</v>
      </c>
      <c r="O19" s="16" t="s">
        <v>215</v>
      </c>
      <c r="P19" s="20">
        <f>E2*SQRT(2)</f>
        <v>325.26911934581187</v>
      </c>
      <c r="Q19" s="16" t="s">
        <v>215</v>
      </c>
      <c r="R19" s="20">
        <f>E2*SQRT(2)</f>
        <v>325.26911934581187</v>
      </c>
      <c r="S19" s="15" t="s">
        <v>215</v>
      </c>
      <c r="T19" s="1"/>
    </row>
    <row r="20" spans="1:36" x14ac:dyDescent="0.2">
      <c r="A20" s="1"/>
      <c r="B20" s="23" t="s">
        <v>223</v>
      </c>
      <c r="C20" s="1"/>
      <c r="D20" s="12">
        <f>D16*D18</f>
        <v>3.5495999999999999</v>
      </c>
      <c r="E20" s="16" t="s">
        <v>215</v>
      </c>
      <c r="F20" s="14">
        <f>F16*F18</f>
        <v>3.5495999999999999</v>
      </c>
      <c r="G20" s="16" t="s">
        <v>215</v>
      </c>
      <c r="H20" s="14">
        <f>H16*H18</f>
        <v>3.5495999999999999</v>
      </c>
      <c r="I20" s="16" t="s">
        <v>215</v>
      </c>
      <c r="J20" s="14">
        <f>J16*J18</f>
        <v>3.5495999999999999</v>
      </c>
      <c r="K20" s="15" t="s">
        <v>215</v>
      </c>
      <c r="L20" s="12">
        <f>L16*L18</f>
        <v>1.9584000000000001</v>
      </c>
      <c r="M20" s="16" t="s">
        <v>215</v>
      </c>
      <c r="N20" s="14">
        <f>N16*N18</f>
        <v>1.9584000000000001</v>
      </c>
      <c r="O20" s="16" t="s">
        <v>215</v>
      </c>
      <c r="P20" s="14">
        <f>P16*P18</f>
        <v>1.9584000000000001</v>
      </c>
      <c r="Q20" s="16" t="s">
        <v>215</v>
      </c>
      <c r="R20" s="14">
        <f>R16*R18</f>
        <v>1.9584000000000001</v>
      </c>
      <c r="S20" s="15" t="s">
        <v>215</v>
      </c>
      <c r="T20" s="1"/>
    </row>
    <row r="21" spans="1:36" x14ac:dyDescent="0.2">
      <c r="A21" s="1"/>
      <c r="B21" s="23" t="s">
        <v>225</v>
      </c>
      <c r="C21" s="1"/>
      <c r="D21" s="19">
        <f>D19-D20</f>
        <v>321.71951934581188</v>
      </c>
      <c r="E21" s="16" t="s">
        <v>215</v>
      </c>
      <c r="F21" s="20">
        <f>F19-F20</f>
        <v>321.71951934581188</v>
      </c>
      <c r="G21" s="16" t="s">
        <v>215</v>
      </c>
      <c r="H21" s="20">
        <f>H19-H20</f>
        <v>321.71951934581188</v>
      </c>
      <c r="I21" s="16" t="s">
        <v>215</v>
      </c>
      <c r="J21" s="20">
        <f>J19-J20</f>
        <v>321.71951934581188</v>
      </c>
      <c r="K21" s="15" t="s">
        <v>215</v>
      </c>
      <c r="L21" s="19">
        <f>L19-L20</f>
        <v>323.31071934581189</v>
      </c>
      <c r="M21" s="16" t="s">
        <v>215</v>
      </c>
      <c r="N21" s="20">
        <f>N19-N20</f>
        <v>323.31071934581189</v>
      </c>
      <c r="O21" s="16" t="s">
        <v>215</v>
      </c>
      <c r="P21" s="20">
        <f>P19-P20</f>
        <v>323.31071934581189</v>
      </c>
      <c r="Q21" s="16" t="s">
        <v>215</v>
      </c>
      <c r="R21" s="20">
        <f>R19-R20</f>
        <v>323.31071934581189</v>
      </c>
      <c r="S21" s="15" t="s">
        <v>215</v>
      </c>
      <c r="T21" s="1"/>
    </row>
    <row r="22" spans="1:36" ht="17" thickBot="1" x14ac:dyDescent="0.25">
      <c r="A22" s="1"/>
      <c r="B22" s="24" t="s">
        <v>227</v>
      </c>
      <c r="C22" s="1"/>
      <c r="D22" s="141">
        <f>(D20*100)/D19</f>
        <v>1.0912809697825081</v>
      </c>
      <c r="E22" s="21" t="str">
        <f>IF(D22&gt;Data!$AC$27,"&lt;OVER!","% V Pk")</f>
        <v>% V Pk</v>
      </c>
      <c r="F22" s="142">
        <f>(F20*100)/F19</f>
        <v>1.0912809697825081</v>
      </c>
      <c r="G22" s="21" t="str">
        <f>IF(F22&gt;Data!$AC$27,"&lt;OVER!","% V Pk")</f>
        <v>% V Pk</v>
      </c>
      <c r="H22" s="142">
        <f>(H20*100)/H19</f>
        <v>1.0912809697825081</v>
      </c>
      <c r="I22" s="21" t="str">
        <f>IF(H22&gt;Data!$AC$27,"&lt;OVER!","% V Pk")</f>
        <v>% V Pk</v>
      </c>
      <c r="J22" s="142">
        <f>(J20*100)/J19</f>
        <v>1.0912809697825081</v>
      </c>
      <c r="K22" s="21" t="str">
        <f>IF(J22&gt;Data!$AC$27,"&lt;OVER!","% V Pk")</f>
        <v>% V Pk</v>
      </c>
      <c r="L22" s="141">
        <f>(L20*100)/L19</f>
        <v>0.60208605229379764</v>
      </c>
      <c r="M22" s="21" t="str">
        <f>IF(L22&gt;Data!$AC$27,"&lt;OVER!","% V Pk")</f>
        <v>% V Pk</v>
      </c>
      <c r="N22" s="142">
        <f>(N20*100)/N19</f>
        <v>0.60208605229379764</v>
      </c>
      <c r="O22" s="21" t="str">
        <f>IF(N22&gt;Data!$AC$27,"&lt;OVER!","% V Pk")</f>
        <v>% V Pk</v>
      </c>
      <c r="P22" s="142">
        <f>(P20*100)/P19</f>
        <v>0.60208605229379764</v>
      </c>
      <c r="Q22" s="21" t="str">
        <f>IF(P22&gt;Data!$AC$27,"&lt;OVER!","% V Pk")</f>
        <v>% V Pk</v>
      </c>
      <c r="R22" s="142">
        <f>(R20*100)/R19</f>
        <v>0.60208605229379764</v>
      </c>
      <c r="S22" s="22" t="str">
        <f>IF(R22&gt;Data!$AC$27,"&lt;OVER!","% V Pk")</f>
        <v>% V Pk</v>
      </c>
      <c r="T22" s="1"/>
      <c r="U22" s="571" t="s">
        <v>247</v>
      </c>
      <c r="W22" s="89"/>
      <c r="X22" s="90" t="s">
        <v>162</v>
      </c>
      <c r="Y22" s="90" t="s">
        <v>248</v>
      </c>
      <c r="Z22" s="90" t="s">
        <v>249</v>
      </c>
      <c r="AA22" s="90"/>
      <c r="AB22" s="89"/>
      <c r="AC22" s="90" t="s">
        <v>217</v>
      </c>
      <c r="AD22" s="90" t="s">
        <v>218</v>
      </c>
      <c r="AE22" s="90" t="s">
        <v>219</v>
      </c>
      <c r="AF22" s="90" t="s">
        <v>220</v>
      </c>
      <c r="AG22" s="90" t="s">
        <v>221</v>
      </c>
      <c r="AH22" s="90" t="s">
        <v>222</v>
      </c>
      <c r="AI22" s="90" t="s">
        <v>250</v>
      </c>
      <c r="AJ22" s="90" t="s">
        <v>251</v>
      </c>
    </row>
    <row r="23" spans="1:36" x14ac:dyDescent="0.2">
      <c r="A23" s="1"/>
      <c r="B23" s="1"/>
      <c r="C23" s="1"/>
      <c r="D23" s="1"/>
      <c r="E23" s="1"/>
      <c r="F23" s="1"/>
      <c r="G23" s="1"/>
      <c r="H23" s="1"/>
      <c r="I23" s="1"/>
      <c r="J23" s="1"/>
      <c r="K23" s="1"/>
      <c r="L23" s="1"/>
      <c r="M23" s="1"/>
      <c r="N23" s="1"/>
      <c r="O23" s="1"/>
      <c r="P23" s="1"/>
      <c r="Q23" s="1"/>
      <c r="R23" s="1"/>
      <c r="S23" s="1"/>
      <c r="T23" s="1"/>
      <c r="U23" s="571"/>
      <c r="W23" s="89" t="s">
        <v>224</v>
      </c>
      <c r="X23" s="90">
        <f>Data!$AC$6</f>
        <v>32</v>
      </c>
      <c r="Y23" s="90">
        <f>Data!$AC$23</f>
        <v>15</v>
      </c>
      <c r="Z23" s="90">
        <f>Data!$AC$23</f>
        <v>15</v>
      </c>
      <c r="AA23" s="90"/>
      <c r="AB23" s="89" t="s">
        <v>109</v>
      </c>
      <c r="AC23" s="91">
        <f>'EU MDM-832'!D14</f>
        <v>2.4000000000000004</v>
      </c>
      <c r="AD23" s="90">
        <f>'EU MDM-832'!F14</f>
        <v>2.4000000000000004</v>
      </c>
      <c r="AE23" s="90">
        <f>'EU MDM-832'!H14</f>
        <v>2.4000000000000004</v>
      </c>
      <c r="AF23" s="90">
        <f>'EU MDM-832'!J14</f>
        <v>2.4000000000000004</v>
      </c>
      <c r="AG23" s="90">
        <f>'EU MDM-832'!L14</f>
        <v>2.2000000000000002</v>
      </c>
      <c r="AH23" s="90">
        <f>'EU MDM-832'!N14</f>
        <v>2.2000000000000002</v>
      </c>
      <c r="AI23" s="90">
        <f>'EU MDM-832'!P14</f>
        <v>2.2000000000000002</v>
      </c>
      <c r="AJ23" s="90">
        <f>'EU MDM-832'!R14</f>
        <v>2.2000000000000002</v>
      </c>
    </row>
    <row r="24" spans="1:36" x14ac:dyDescent="0.2">
      <c r="A24" s="1"/>
      <c r="B24" s="1"/>
      <c r="C24" s="1"/>
      <c r="D24" s="1"/>
      <c r="E24" s="1"/>
      <c r="F24" s="1"/>
      <c r="G24" s="1"/>
      <c r="H24" s="1"/>
      <c r="I24" s="1"/>
      <c r="J24" s="1"/>
      <c r="K24" s="1"/>
      <c r="L24" s="1"/>
      <c r="M24" s="1"/>
      <c r="N24" s="1"/>
      <c r="O24" s="1"/>
      <c r="P24" s="1"/>
      <c r="Q24" s="1"/>
      <c r="R24" s="1"/>
      <c r="S24" s="1"/>
      <c r="T24" s="1"/>
      <c r="U24" s="571"/>
      <c r="W24" s="89"/>
      <c r="X24" s="90"/>
      <c r="Y24" s="90"/>
      <c r="Z24" s="90"/>
      <c r="AA24" s="90"/>
      <c r="AB24" s="89"/>
      <c r="AC24" s="90"/>
      <c r="AD24" s="90"/>
      <c r="AE24" s="90"/>
      <c r="AF24" s="90"/>
      <c r="AG24" s="90"/>
      <c r="AH24" s="90"/>
      <c r="AI24" s="90"/>
      <c r="AJ24" s="90"/>
    </row>
    <row r="25" spans="1:36" x14ac:dyDescent="0.2">
      <c r="A25" s="1"/>
      <c r="B25" s="1"/>
      <c r="C25" s="1"/>
      <c r="D25" s="1"/>
      <c r="E25" s="1"/>
      <c r="F25" s="1"/>
      <c r="G25" s="1"/>
      <c r="H25" s="1"/>
      <c r="I25" s="1"/>
      <c r="J25" s="1"/>
      <c r="K25" s="1"/>
      <c r="L25" s="1"/>
      <c r="M25" s="1"/>
      <c r="N25" s="1"/>
      <c r="O25" s="1"/>
      <c r="P25" s="1"/>
      <c r="Q25" s="1"/>
      <c r="R25" s="1"/>
      <c r="S25" s="1"/>
      <c r="T25" s="1"/>
      <c r="U25" s="571"/>
      <c r="W25" s="89" t="str">
        <f>'EU MDM-832'!B4</f>
        <v>MLTC + 30%</v>
      </c>
      <c r="X25" s="91">
        <f>'EU MDM-832'!D4</f>
        <v>23.919999999999998</v>
      </c>
      <c r="Y25" s="91">
        <f>'EU MDM-832'!H4</f>
        <v>9.6000000000000014</v>
      </c>
      <c r="Z25" s="92">
        <f>'EU MDM-832'!$N4</f>
        <v>8.8000000000000007</v>
      </c>
      <c r="AA25" s="90"/>
      <c r="AB25" s="89"/>
      <c r="AC25" s="90"/>
      <c r="AD25" s="90"/>
      <c r="AE25" s="90"/>
      <c r="AF25" s="90"/>
      <c r="AG25" s="90"/>
      <c r="AH25" s="90"/>
      <c r="AI25" s="90"/>
      <c r="AJ25" s="90"/>
    </row>
    <row r="26" spans="1:36" x14ac:dyDescent="0.2">
      <c r="A26" s="1"/>
      <c r="B26" s="1"/>
      <c r="C26" s="1"/>
      <c r="D26" s="1"/>
      <c r="E26" s="1"/>
      <c r="F26" s="1"/>
      <c r="G26" s="1"/>
      <c r="H26" s="1"/>
      <c r="I26" s="1"/>
      <c r="J26" s="1"/>
      <c r="K26" s="1"/>
      <c r="L26" s="1"/>
      <c r="M26" s="1"/>
      <c r="N26" s="1"/>
      <c r="O26" s="1"/>
      <c r="P26" s="1"/>
      <c r="Q26" s="1"/>
      <c r="R26" s="1"/>
      <c r="S26" s="1"/>
      <c r="T26" s="1"/>
      <c r="U26" s="571"/>
      <c r="W26" s="89" t="str">
        <f>'EU MDM-832'!B5</f>
        <v>Burst RMS</v>
      </c>
      <c r="X26" s="91">
        <f>'EU MDM-832'!D5</f>
        <v>32.4</v>
      </c>
      <c r="Y26" s="91">
        <f>'EU MDM-832'!H5</f>
        <v>13.200000000000001</v>
      </c>
      <c r="Z26" s="92">
        <f>'EU MDM-832'!$N5</f>
        <v>19.2</v>
      </c>
      <c r="AA26" s="90"/>
      <c r="AB26" s="89" t="s">
        <v>228</v>
      </c>
      <c r="AC26" s="90">
        <f>(100*AC23)/$Y23</f>
        <v>16.000000000000004</v>
      </c>
      <c r="AD26" s="90">
        <f>(100*AD23)/$Y23</f>
        <v>16.000000000000004</v>
      </c>
      <c r="AE26" s="90">
        <f>(100*AE23)/$Y23</f>
        <v>16.000000000000004</v>
      </c>
      <c r="AF26" s="90">
        <f>(100*AF23)/$Y23</f>
        <v>16.000000000000004</v>
      </c>
      <c r="AG26" s="90">
        <f>(100*AG23)/$Z23</f>
        <v>14.666666666666668</v>
      </c>
      <c r="AH26" s="90">
        <f>(100*AH23)/$Z23</f>
        <v>14.666666666666668</v>
      </c>
      <c r="AI26" s="90">
        <f>(100*AI23)/$Z23</f>
        <v>14.666666666666668</v>
      </c>
      <c r="AJ26" s="90">
        <f>(100*AJ23)/$Z23</f>
        <v>14.666666666666668</v>
      </c>
    </row>
    <row r="27" spans="1:36" x14ac:dyDescent="0.2">
      <c r="A27" s="1"/>
      <c r="B27" s="1"/>
      <c r="C27" s="1"/>
      <c r="D27" s="1"/>
      <c r="E27" s="1"/>
      <c r="F27" s="1"/>
      <c r="G27" s="1"/>
      <c r="H27" s="1"/>
      <c r="I27" s="1"/>
      <c r="J27" s="1"/>
      <c r="K27" s="1"/>
      <c r="L27" s="1"/>
      <c r="M27" s="1"/>
      <c r="N27" s="1"/>
      <c r="O27" s="1"/>
      <c r="P27" s="1"/>
      <c r="Q27" s="1"/>
      <c r="R27" s="1"/>
      <c r="S27" s="1"/>
      <c r="T27" s="1"/>
      <c r="U27" s="571"/>
      <c r="W27" s="89" t="str">
        <f>'EU MDM-832'!B6</f>
        <v>Max Inst Pk</v>
      </c>
      <c r="X27" s="91">
        <f>'EU MDM-832'!D6</f>
        <v>53.999999999999986</v>
      </c>
      <c r="Y27" s="91">
        <f>'EU MDM-832'!H6</f>
        <v>34.799999999999997</v>
      </c>
      <c r="Z27" s="92">
        <f>'EU MDM-832'!$N6</f>
        <v>19.2</v>
      </c>
      <c r="AA27" s="90"/>
      <c r="AB27" s="89" t="s">
        <v>229</v>
      </c>
      <c r="AC27" s="90">
        <f t="shared" ref="AC27:AJ27" si="0">AC26-100</f>
        <v>-84</v>
      </c>
      <c r="AD27" s="90">
        <f t="shared" si="0"/>
        <v>-84</v>
      </c>
      <c r="AE27" s="90">
        <f t="shared" si="0"/>
        <v>-84</v>
      </c>
      <c r="AF27" s="90">
        <f t="shared" si="0"/>
        <v>-84</v>
      </c>
      <c r="AG27" s="90">
        <f t="shared" si="0"/>
        <v>-85.333333333333329</v>
      </c>
      <c r="AH27" s="90">
        <f t="shared" si="0"/>
        <v>-85.333333333333329</v>
      </c>
      <c r="AI27" s="90">
        <f t="shared" si="0"/>
        <v>-85.333333333333329</v>
      </c>
      <c r="AJ27" s="90">
        <f t="shared" si="0"/>
        <v>-85.333333333333329</v>
      </c>
    </row>
    <row r="28" spans="1:36" x14ac:dyDescent="0.2">
      <c r="A28" s="1"/>
      <c r="B28" s="1"/>
      <c r="C28" s="1"/>
      <c r="D28" s="1"/>
      <c r="E28" s="1"/>
      <c r="F28" s="1"/>
      <c r="G28" s="1"/>
      <c r="H28" s="1"/>
      <c r="I28" s="1"/>
      <c r="J28" s="1"/>
      <c r="K28" s="1"/>
      <c r="L28" s="1"/>
      <c r="M28" s="1"/>
      <c r="N28" s="1"/>
      <c r="O28" s="1"/>
      <c r="P28" s="1"/>
      <c r="Q28" s="1"/>
      <c r="R28" s="1"/>
      <c r="S28" s="1"/>
      <c r="T28" s="1"/>
      <c r="U28" s="571"/>
      <c r="W28" s="89" t="s">
        <v>109</v>
      </c>
      <c r="X28" s="91">
        <f>(D14+F14+H14+J14+L14+N14+P14+R14)</f>
        <v>18.399999999999999</v>
      </c>
      <c r="Y28" s="90"/>
      <c r="Z28" s="90"/>
      <c r="AA28" s="90"/>
      <c r="AB28" s="89" t="s">
        <v>230</v>
      </c>
      <c r="AC28" s="90">
        <f t="shared" ref="AC28:AJ28" si="1">IF(AC27&lt;0,AC26,100)</f>
        <v>16.000000000000004</v>
      </c>
      <c r="AD28" s="90">
        <f t="shared" si="1"/>
        <v>16.000000000000004</v>
      </c>
      <c r="AE28" s="90">
        <f t="shared" si="1"/>
        <v>16.000000000000004</v>
      </c>
      <c r="AF28" s="90">
        <f t="shared" si="1"/>
        <v>16.000000000000004</v>
      </c>
      <c r="AG28" s="90">
        <f t="shared" si="1"/>
        <v>14.666666666666668</v>
      </c>
      <c r="AH28" s="90">
        <f t="shared" si="1"/>
        <v>14.666666666666668</v>
      </c>
      <c r="AI28" s="90">
        <f t="shared" si="1"/>
        <v>14.666666666666668</v>
      </c>
      <c r="AJ28" s="90">
        <f t="shared" si="1"/>
        <v>14.666666666666668</v>
      </c>
    </row>
    <row r="29" spans="1:36" x14ac:dyDescent="0.2">
      <c r="A29" s="1"/>
      <c r="B29" s="1"/>
      <c r="C29" s="1"/>
      <c r="D29" s="1"/>
      <c r="E29" s="1"/>
      <c r="F29" s="1"/>
      <c r="G29" s="1"/>
      <c r="H29" s="1"/>
      <c r="I29" s="1"/>
      <c r="J29" s="1"/>
      <c r="K29" s="1"/>
      <c r="L29" s="1"/>
      <c r="M29" s="1"/>
      <c r="N29" s="1"/>
      <c r="O29" s="1"/>
      <c r="P29" s="1"/>
      <c r="Q29" s="1"/>
      <c r="R29" s="1"/>
      <c r="S29" s="1"/>
      <c r="T29" s="1"/>
      <c r="U29" s="571"/>
      <c r="W29" s="89"/>
      <c r="X29" s="90"/>
      <c r="Y29" s="90"/>
      <c r="Z29" s="90"/>
      <c r="AA29" s="90"/>
      <c r="AB29" s="89" t="s">
        <v>231</v>
      </c>
      <c r="AC29" s="90" t="e">
        <f t="shared" ref="AC29:AJ29" si="2">IF(AC26&gt;100,AC26-AC28,NA())</f>
        <v>#N/A</v>
      </c>
      <c r="AD29" s="90" t="e">
        <f t="shared" si="2"/>
        <v>#N/A</v>
      </c>
      <c r="AE29" s="90" t="e">
        <f t="shared" si="2"/>
        <v>#N/A</v>
      </c>
      <c r="AF29" s="90" t="e">
        <f t="shared" si="2"/>
        <v>#N/A</v>
      </c>
      <c r="AG29" s="90" t="e">
        <f t="shared" si="2"/>
        <v>#N/A</v>
      </c>
      <c r="AH29" s="90" t="e">
        <f t="shared" si="2"/>
        <v>#N/A</v>
      </c>
      <c r="AI29" s="90" t="e">
        <f t="shared" si="2"/>
        <v>#N/A</v>
      </c>
      <c r="AJ29" s="90" t="e">
        <f t="shared" si="2"/>
        <v>#N/A</v>
      </c>
    </row>
    <row r="30" spans="1:36" x14ac:dyDescent="0.2">
      <c r="A30" s="1"/>
      <c r="B30" s="1"/>
      <c r="C30" s="1"/>
      <c r="D30" s="1"/>
      <c r="E30" s="1"/>
      <c r="F30" s="1"/>
      <c r="G30" s="1"/>
      <c r="H30" s="1"/>
      <c r="I30" s="1"/>
      <c r="J30" s="1"/>
      <c r="K30" s="1"/>
      <c r="L30" s="1"/>
      <c r="M30" s="1"/>
      <c r="N30" s="1"/>
      <c r="O30" s="1"/>
      <c r="P30" s="1"/>
      <c r="Q30" s="1"/>
      <c r="R30" s="1"/>
      <c r="S30" s="1"/>
      <c r="T30" s="1"/>
      <c r="U30" s="571"/>
      <c r="W30" s="89" t="s">
        <v>228</v>
      </c>
      <c r="X30" s="90">
        <f>(100*X25)/X23</f>
        <v>74.75</v>
      </c>
      <c r="Y30" s="90">
        <f>(100*Y25)/Y23</f>
        <v>64.000000000000014</v>
      </c>
      <c r="Z30" s="90">
        <f>(100*Z25)/Z23</f>
        <v>58.666666666666671</v>
      </c>
      <c r="AA30" s="90"/>
      <c r="AB30" s="89" t="s">
        <v>232</v>
      </c>
      <c r="AC30" s="90">
        <f>Data!$AC$13</f>
        <v>10</v>
      </c>
      <c r="AD30" s="90">
        <f>Data!$AC$13</f>
        <v>10</v>
      </c>
      <c r="AE30" s="90">
        <f>Data!$AC$13</f>
        <v>10</v>
      </c>
      <c r="AF30" s="90">
        <f>Data!$AC$13</f>
        <v>10</v>
      </c>
      <c r="AG30" s="90">
        <f>Data!$AC$13</f>
        <v>10</v>
      </c>
      <c r="AH30" s="90">
        <f>Data!$AC$13</f>
        <v>10</v>
      </c>
      <c r="AI30" s="90">
        <f>Data!$AC$13</f>
        <v>10</v>
      </c>
      <c r="AJ30" s="90">
        <f>Data!$AC$13</f>
        <v>10</v>
      </c>
    </row>
    <row r="31" spans="1:36" x14ac:dyDescent="0.2">
      <c r="A31" s="1"/>
      <c r="B31" s="1"/>
      <c r="C31" s="1"/>
      <c r="D31" s="1"/>
      <c r="E31" s="1"/>
      <c r="F31" s="1"/>
      <c r="G31" s="1"/>
      <c r="H31" s="1"/>
      <c r="I31" s="1"/>
      <c r="J31" s="1"/>
      <c r="K31" s="1"/>
      <c r="L31" s="1"/>
      <c r="M31" s="1"/>
      <c r="N31" s="1"/>
      <c r="O31" s="1"/>
      <c r="P31" s="1"/>
      <c r="Q31" s="1"/>
      <c r="R31" s="1"/>
      <c r="S31" s="1"/>
      <c r="T31" s="1"/>
      <c r="U31" s="571"/>
      <c r="W31" s="89" t="s">
        <v>229</v>
      </c>
      <c r="X31" s="90">
        <f>X30-100</f>
        <v>-25.25</v>
      </c>
      <c r="Y31" s="90">
        <f>Y30-100</f>
        <v>-35.999999999999986</v>
      </c>
      <c r="Z31" s="90">
        <f>Z30-100</f>
        <v>-41.333333333333329</v>
      </c>
      <c r="AA31" s="90"/>
      <c r="AB31" s="89" t="s">
        <v>233</v>
      </c>
      <c r="AC31" s="92">
        <f>-'EU MDM-832'!$D22</f>
        <v>-1.0912809697825081</v>
      </c>
      <c r="AD31" s="92">
        <f>-'EU MDM-832'!$F22</f>
        <v>-1.0912809697825081</v>
      </c>
      <c r="AE31" s="92">
        <f>-'EU MDM-832'!$H22</f>
        <v>-1.0912809697825081</v>
      </c>
      <c r="AF31" s="92">
        <f>-'EU MDM-832'!$J22</f>
        <v>-1.0912809697825081</v>
      </c>
      <c r="AG31" s="92">
        <f>-'EU MDM-832'!$L22</f>
        <v>-0.60208605229379764</v>
      </c>
      <c r="AH31" s="92">
        <f>-'EU MDM-832'!$N22</f>
        <v>-0.60208605229379764</v>
      </c>
      <c r="AI31" s="92">
        <f>-'EU MDM-832'!$P22</f>
        <v>-0.60208605229379764</v>
      </c>
      <c r="AJ31" s="92">
        <f>-'EU MDM-832'!$R22</f>
        <v>-0.60208605229379764</v>
      </c>
    </row>
    <row r="32" spans="1:36" x14ac:dyDescent="0.2">
      <c r="A32" s="1"/>
      <c r="B32" s="1"/>
      <c r="C32" s="1"/>
      <c r="D32" s="1"/>
      <c r="E32" s="1"/>
      <c r="F32" s="1"/>
      <c r="G32" s="1"/>
      <c r="H32" s="1"/>
      <c r="I32" s="1"/>
      <c r="J32" s="1"/>
      <c r="K32" s="1"/>
      <c r="L32" s="1"/>
      <c r="M32" s="1"/>
      <c r="N32" s="1"/>
      <c r="O32" s="1"/>
      <c r="P32" s="1"/>
      <c r="Q32" s="1"/>
      <c r="R32" s="1"/>
      <c r="S32" s="1"/>
      <c r="T32" s="1"/>
      <c r="U32" s="571"/>
      <c r="W32" s="89" t="s">
        <v>230</v>
      </c>
      <c r="X32" s="90">
        <f>IF(X31&lt;0,X30,100)</f>
        <v>74.75</v>
      </c>
      <c r="Y32" s="90">
        <f>IF(Y31&lt;0,Y30,100)</f>
        <v>64.000000000000014</v>
      </c>
      <c r="Z32" s="90">
        <f>IF(Z31&lt;0,Z30,100)</f>
        <v>58.666666666666671</v>
      </c>
      <c r="AA32" s="90"/>
      <c r="AB32" s="89" t="s">
        <v>234</v>
      </c>
      <c r="AC32" s="90">
        <f t="shared" ref="AC32:AJ32" si="3">IF(AC31&gt;-AC30,AC31,-AC30)</f>
        <v>-1.0912809697825081</v>
      </c>
      <c r="AD32" s="90">
        <f t="shared" si="3"/>
        <v>-1.0912809697825081</v>
      </c>
      <c r="AE32" s="90">
        <f t="shared" si="3"/>
        <v>-1.0912809697825081</v>
      </c>
      <c r="AF32" s="90">
        <f t="shared" si="3"/>
        <v>-1.0912809697825081</v>
      </c>
      <c r="AG32" s="90">
        <f t="shared" si="3"/>
        <v>-0.60208605229379764</v>
      </c>
      <c r="AH32" s="90">
        <f t="shared" si="3"/>
        <v>-0.60208605229379764</v>
      </c>
      <c r="AI32" s="90">
        <f t="shared" si="3"/>
        <v>-0.60208605229379764</v>
      </c>
      <c r="AJ32" s="90">
        <f t="shared" si="3"/>
        <v>-0.60208605229379764</v>
      </c>
    </row>
    <row r="33" spans="1:36" x14ac:dyDescent="0.2">
      <c r="A33" s="1"/>
      <c r="B33" s="1"/>
      <c r="C33" s="1"/>
      <c r="D33" s="1"/>
      <c r="E33" s="1"/>
      <c r="F33" s="1"/>
      <c r="G33" s="1"/>
      <c r="H33" s="1"/>
      <c r="I33" s="1"/>
      <c r="J33" s="1"/>
      <c r="K33" s="1"/>
      <c r="L33" s="1"/>
      <c r="M33" s="1"/>
      <c r="N33" s="1"/>
      <c r="O33" s="1"/>
      <c r="P33" s="1"/>
      <c r="Q33" s="1"/>
      <c r="R33" s="1"/>
      <c r="S33" s="1"/>
      <c r="T33" s="1"/>
      <c r="U33" s="571"/>
      <c r="W33" s="89" t="s">
        <v>231</v>
      </c>
      <c r="X33" s="90" t="e">
        <f>IF(X30&gt;100,X30-X32,NA())</f>
        <v>#N/A</v>
      </c>
      <c r="Y33" s="90" t="e">
        <f>IF(Y30&gt;100,Y30-Y32,NA())</f>
        <v>#N/A</v>
      </c>
      <c r="Z33" s="90" t="e">
        <f>IF(Z30&gt;100,Z30-Z32,NA())</f>
        <v>#N/A</v>
      </c>
      <c r="AA33" s="90"/>
      <c r="AB33" s="89" t="s">
        <v>235</v>
      </c>
      <c r="AC33" s="90" t="e">
        <f t="shared" ref="AC33:AJ33" si="4">IF(AC31&gt;-AC30,NA(),AC31+AC30)</f>
        <v>#N/A</v>
      </c>
      <c r="AD33" s="90" t="e">
        <f t="shared" si="4"/>
        <v>#N/A</v>
      </c>
      <c r="AE33" s="90" t="e">
        <f t="shared" si="4"/>
        <v>#N/A</v>
      </c>
      <c r="AF33" s="90" t="e">
        <f t="shared" si="4"/>
        <v>#N/A</v>
      </c>
      <c r="AG33" s="90" t="e">
        <f t="shared" si="4"/>
        <v>#N/A</v>
      </c>
      <c r="AH33" s="90" t="e">
        <f t="shared" si="4"/>
        <v>#N/A</v>
      </c>
      <c r="AI33" s="90" t="e">
        <f t="shared" si="4"/>
        <v>#N/A</v>
      </c>
      <c r="AJ33" s="90" t="e">
        <f t="shared" si="4"/>
        <v>#N/A</v>
      </c>
    </row>
    <row r="34" spans="1:36" x14ac:dyDescent="0.2">
      <c r="A34" s="1"/>
      <c r="B34" s="1"/>
      <c r="C34" s="1"/>
      <c r="D34" s="1"/>
      <c r="E34" s="1"/>
      <c r="F34" s="1"/>
      <c r="G34" s="1"/>
      <c r="H34" s="1"/>
      <c r="I34" s="1"/>
      <c r="J34" s="1"/>
      <c r="K34" s="1"/>
      <c r="L34" s="1"/>
      <c r="M34" s="1"/>
      <c r="N34" s="1"/>
      <c r="O34" s="1"/>
      <c r="P34" s="1"/>
      <c r="Q34" s="1"/>
      <c r="R34" s="1"/>
      <c r="S34" s="1"/>
      <c r="T34" s="1"/>
      <c r="U34" s="571"/>
      <c r="W34" s="89"/>
      <c r="X34" s="90"/>
      <c r="Y34" s="90"/>
      <c r="Z34" s="90"/>
      <c r="AA34" s="90"/>
      <c r="AB34" s="89"/>
    </row>
    <row r="35" spans="1:36" x14ac:dyDescent="0.2">
      <c r="A35" s="1"/>
      <c r="B35" s="1"/>
      <c r="C35" s="1"/>
      <c r="D35" s="1"/>
      <c r="E35" s="1"/>
      <c r="F35" s="1"/>
      <c r="G35" s="1"/>
      <c r="H35" s="1"/>
      <c r="I35" s="1"/>
      <c r="J35" s="1"/>
      <c r="K35" s="1"/>
      <c r="L35" s="1"/>
      <c r="M35" s="1"/>
      <c r="N35" s="1"/>
      <c r="O35" s="1"/>
      <c r="P35" s="1"/>
      <c r="Q35" s="1"/>
      <c r="R35" s="1"/>
      <c r="S35" s="1"/>
      <c r="T35" s="1"/>
      <c r="U35" s="571"/>
      <c r="W35" s="89"/>
      <c r="X35" s="90"/>
      <c r="Y35" s="90"/>
      <c r="Z35" s="90"/>
      <c r="AA35" s="90"/>
      <c r="AB35" s="89"/>
    </row>
    <row r="36" spans="1:36" x14ac:dyDescent="0.2">
      <c r="A36" s="1"/>
      <c r="B36" s="1"/>
      <c r="C36" s="1"/>
      <c r="D36" s="1"/>
      <c r="E36" s="1"/>
      <c r="F36" s="1"/>
      <c r="G36" s="1"/>
      <c r="H36" s="1"/>
      <c r="I36" s="1"/>
      <c r="J36" s="1"/>
      <c r="K36" s="1"/>
      <c r="L36" s="1"/>
      <c r="M36" s="1"/>
      <c r="N36" s="1"/>
      <c r="O36" s="1"/>
      <c r="P36" s="1"/>
      <c r="Q36" s="1"/>
      <c r="R36" s="1"/>
      <c r="S36" s="1"/>
      <c r="T36" s="1"/>
      <c r="U36" s="571"/>
      <c r="W36" s="89"/>
      <c r="X36" s="90"/>
      <c r="Y36" s="90"/>
      <c r="Z36" s="90"/>
      <c r="AA36" s="90"/>
      <c r="AB36" s="89"/>
    </row>
    <row r="37" spans="1:36" x14ac:dyDescent="0.2">
      <c r="A37" s="1"/>
      <c r="B37" s="1"/>
      <c r="C37" s="1"/>
      <c r="D37" s="1"/>
      <c r="E37" s="1"/>
      <c r="F37" s="1"/>
      <c r="G37" s="1"/>
      <c r="H37" s="1"/>
      <c r="I37" s="1"/>
      <c r="J37" s="1"/>
      <c r="K37" s="1"/>
      <c r="L37" s="1"/>
      <c r="M37" s="1"/>
      <c r="N37" s="1"/>
      <c r="O37" s="1"/>
      <c r="P37" s="1"/>
      <c r="Q37" s="1"/>
      <c r="R37" s="1"/>
      <c r="S37" s="1"/>
      <c r="T37" s="1"/>
      <c r="U37" s="571"/>
      <c r="W37" s="89"/>
      <c r="X37" s="90"/>
      <c r="Y37" s="90"/>
      <c r="Z37" s="90"/>
      <c r="AA37" s="90"/>
      <c r="AB37" s="89"/>
    </row>
    <row r="38" spans="1:36" ht="17" thickBot="1" x14ac:dyDescent="0.25">
      <c r="A38" s="160"/>
      <c r="B38" s="168" t="str">
        <f>Data!$T$1</f>
        <v>Meyer Sound Laboratories, Inc. Berkeley, California, USA                                 www.meyersound.com</v>
      </c>
      <c r="C38" s="160"/>
      <c r="D38" s="160"/>
      <c r="E38" s="160"/>
      <c r="F38" s="160"/>
      <c r="G38" s="160"/>
      <c r="H38" s="160"/>
      <c r="I38" s="160"/>
      <c r="J38" s="160"/>
      <c r="K38" s="160"/>
      <c r="L38" s="160"/>
      <c r="M38" s="160"/>
      <c r="N38" s="160"/>
      <c r="O38" s="160"/>
      <c r="P38" s="160"/>
      <c r="Q38" s="160"/>
      <c r="R38" s="160"/>
      <c r="S38" s="160"/>
      <c r="T38" s="126" t="str">
        <f>Data!$G$1</f>
        <v>© 2021</v>
      </c>
      <c r="U38" s="571"/>
    </row>
    <row r="39" spans="1:36" ht="17" thickBot="1" x14ac:dyDescent="0.25">
      <c r="A39" s="1"/>
      <c r="B39" s="1"/>
      <c r="C39" s="1"/>
      <c r="D39" s="1"/>
      <c r="E39" s="1"/>
      <c r="F39" s="1"/>
      <c r="G39" s="1"/>
      <c r="H39" s="1"/>
      <c r="I39" s="1"/>
      <c r="J39" s="1"/>
      <c r="K39" s="1"/>
      <c r="L39" s="1"/>
      <c r="M39" s="1"/>
      <c r="N39" s="1"/>
      <c r="O39" s="1"/>
      <c r="P39" s="1"/>
      <c r="Q39" s="1"/>
      <c r="R39" s="1"/>
      <c r="S39" s="126" t="str">
        <f>Data!$M$1</f>
        <v>06.257.005.01 C</v>
      </c>
      <c r="T39" s="1"/>
    </row>
    <row r="40" spans="1:36" x14ac:dyDescent="0.2">
      <c r="A40" s="1"/>
      <c r="B40" s="10" t="s">
        <v>192</v>
      </c>
      <c r="C40" s="1"/>
      <c r="D40" s="11" t="s">
        <v>239</v>
      </c>
      <c r="E40" s="154">
        <f>'Master EU'!$N$5</f>
        <v>230</v>
      </c>
      <c r="F40" s="1"/>
      <c r="G40" s="1"/>
      <c r="H40" s="572" t="s">
        <v>240</v>
      </c>
      <c r="I40" s="573"/>
      <c r="J40" s="7"/>
      <c r="K40" s="55"/>
      <c r="L40" s="1"/>
      <c r="M40" s="1"/>
      <c r="N40" s="53" t="s">
        <v>241</v>
      </c>
      <c r="O40" s="54"/>
      <c r="P40" s="27" t="s">
        <v>194</v>
      </c>
      <c r="Q40" s="27"/>
      <c r="R40" s="31">
        <v>2.5</v>
      </c>
      <c r="S40" s="30" t="s">
        <v>107</v>
      </c>
      <c r="T40" s="1"/>
    </row>
    <row r="41" spans="1:36" ht="5" customHeight="1" x14ac:dyDescent="0.25">
      <c r="A41" s="1"/>
      <c r="B41" s="2"/>
      <c r="C41" s="1"/>
      <c r="D41" s="5"/>
      <c r="E41" s="7"/>
      <c r="F41" s="1"/>
      <c r="G41" s="8"/>
      <c r="H41" s="56"/>
      <c r="I41" s="57"/>
      <c r="J41" s="1"/>
      <c r="K41" s="1"/>
      <c r="L41" s="7"/>
      <c r="M41" s="8"/>
      <c r="N41" s="58"/>
      <c r="O41" s="59"/>
      <c r="P41" s="1"/>
      <c r="Q41" s="1"/>
      <c r="R41" s="1"/>
      <c r="S41" s="1"/>
      <c r="T41" s="1"/>
    </row>
    <row r="42" spans="1:36" ht="15" customHeight="1" x14ac:dyDescent="0.2">
      <c r="A42" s="1"/>
      <c r="B42" s="23" t="str">
        <f>_xlfn.TEXTJOIN("",FALSE,"MLTC + ",'Master EU'!D11,"%")</f>
        <v>MLTC + 30%</v>
      </c>
      <c r="C42" s="1"/>
      <c r="D42" s="25">
        <f>(D52+F52+H52+J52+L52+N52+P52+R52)*(1+('Master EU'!D11/100))</f>
        <v>11.44</v>
      </c>
      <c r="E42" s="13" t="str">
        <f>IF(D42&gt;Data!$AC$22,"&lt;OVER!","A RMS")</f>
        <v>A RMS</v>
      </c>
      <c r="F42" s="580" t="s">
        <v>242</v>
      </c>
      <c r="G42" s="581"/>
      <c r="H42" s="48">
        <f>D52+F52+H52+J52</f>
        <v>4.4000000000000004</v>
      </c>
      <c r="I42" s="49" t="str">
        <f>IF(H42&gt;Data!$AC$23,"&lt;OVER!","A RMS")</f>
        <v>A RMS</v>
      </c>
      <c r="J42" s="574" t="s">
        <v>109</v>
      </c>
      <c r="K42" s="575"/>
      <c r="L42" s="575"/>
      <c r="M42" s="576"/>
      <c r="N42" s="48">
        <f>L52+N52+P52+R52</f>
        <v>4.4000000000000004</v>
      </c>
      <c r="O42" s="49" t="str">
        <f>IF(N42&gt;Data!$AC$23,"&lt;OVER!","A RMS")</f>
        <v>A RMS</v>
      </c>
      <c r="P42" s="1"/>
      <c r="Q42" s="562" t="str">
        <f>IF('EU MDM-832'!W52&gt;0,"N O !","O K")</f>
        <v>O K</v>
      </c>
      <c r="R42" s="563"/>
      <c r="S42" s="568">
        <v>2</v>
      </c>
      <c r="T42" s="569"/>
    </row>
    <row r="43" spans="1:36" ht="15" customHeight="1" x14ac:dyDescent="0.2">
      <c r="A43" s="1"/>
      <c r="B43" s="23" t="s">
        <v>199</v>
      </c>
      <c r="C43" s="1"/>
      <c r="D43" s="25">
        <f>(D53+F53+H53+J53+L53+N53+P53+R53)</f>
        <v>19.2</v>
      </c>
      <c r="E43" s="13" t="s">
        <v>116</v>
      </c>
      <c r="F43" s="580"/>
      <c r="G43" s="581"/>
      <c r="H43" s="48">
        <f>D53+F53+H53+J53</f>
        <v>9.6</v>
      </c>
      <c r="I43" s="50" t="s">
        <v>243</v>
      </c>
      <c r="J43" s="577" t="s">
        <v>110</v>
      </c>
      <c r="K43" s="578"/>
      <c r="L43" s="578"/>
      <c r="M43" s="579"/>
      <c r="N43" s="48">
        <f>L53+N53+P53+R53</f>
        <v>9.6</v>
      </c>
      <c r="O43" s="50" t="s">
        <v>243</v>
      </c>
      <c r="P43" s="1"/>
      <c r="Q43" s="564"/>
      <c r="R43" s="565"/>
      <c r="S43" s="568"/>
      <c r="T43" s="569"/>
    </row>
    <row r="44" spans="1:36" ht="15" customHeight="1" thickBot="1" x14ac:dyDescent="0.25">
      <c r="A44" s="1"/>
      <c r="B44" s="24" t="s">
        <v>200</v>
      </c>
      <c r="C44" s="1"/>
      <c r="D44" s="26">
        <f>(D54+F54+H54+J54+L54+N54+P54+R54)</f>
        <v>19.2</v>
      </c>
      <c r="E44" s="60" t="s">
        <v>117</v>
      </c>
      <c r="F44" s="580"/>
      <c r="G44" s="581"/>
      <c r="H44" s="51">
        <f>D54+F54+H54+J54</f>
        <v>9.6</v>
      </c>
      <c r="I44" s="52" t="str">
        <f>IF(H44&gt;Data!$AC$24,"&lt;OVER!","A Pk")</f>
        <v>A Pk</v>
      </c>
      <c r="J44" s="577" t="s">
        <v>200</v>
      </c>
      <c r="K44" s="578"/>
      <c r="L44" s="578"/>
      <c r="M44" s="579"/>
      <c r="N44" s="51">
        <f>L54+N54+P54+R54</f>
        <v>9.6</v>
      </c>
      <c r="O44" s="52" t="str">
        <f>IF(N44&gt;Data!$AC$24,"&lt;OVER!","A Pk")</f>
        <v>A Pk</v>
      </c>
      <c r="P44" s="1"/>
      <c r="Q44" s="566"/>
      <c r="R44" s="567"/>
      <c r="S44" s="568"/>
      <c r="T44" s="569"/>
    </row>
    <row r="45" spans="1:36" ht="8" customHeight="1" thickBot="1" x14ac:dyDescent="0.25">
      <c r="A45" s="1"/>
      <c r="B45" s="1"/>
      <c r="C45" s="1"/>
      <c r="D45" s="1"/>
      <c r="E45" s="1"/>
      <c r="F45" s="1"/>
      <c r="G45" s="1"/>
      <c r="H45" s="1"/>
      <c r="I45" s="1"/>
      <c r="J45" s="1"/>
      <c r="K45" s="1"/>
      <c r="L45" s="1"/>
      <c r="M45" s="1"/>
      <c r="N45" s="1"/>
      <c r="O45" s="1"/>
      <c r="P45" s="1"/>
      <c r="Q45" s="1"/>
      <c r="R45" s="1"/>
      <c r="S45" s="1"/>
      <c r="T45" s="1"/>
    </row>
    <row r="46" spans="1:36" x14ac:dyDescent="0.2">
      <c r="A46" s="1"/>
      <c r="B46" s="10" t="s">
        <v>203</v>
      </c>
      <c r="C46" s="1"/>
      <c r="D46" s="560">
        <v>1</v>
      </c>
      <c r="E46" s="561"/>
      <c r="F46" s="553">
        <v>2</v>
      </c>
      <c r="G46" s="561"/>
      <c r="H46" s="553">
        <v>3</v>
      </c>
      <c r="I46" s="561"/>
      <c r="J46" s="553">
        <v>4</v>
      </c>
      <c r="K46" s="554"/>
      <c r="L46" s="560">
        <v>5</v>
      </c>
      <c r="M46" s="561"/>
      <c r="N46" s="553">
        <v>6</v>
      </c>
      <c r="O46" s="561"/>
      <c r="P46" s="553">
        <v>7</v>
      </c>
      <c r="Q46" s="561"/>
      <c r="R46" s="553">
        <v>8</v>
      </c>
      <c r="S46" s="554"/>
      <c r="T46" s="1"/>
      <c r="V46" t="s">
        <v>244</v>
      </c>
    </row>
    <row r="47" spans="1:36" x14ac:dyDescent="0.2">
      <c r="A47" s="1"/>
      <c r="B47" s="23" t="s">
        <v>205</v>
      </c>
      <c r="C47" s="1"/>
      <c r="D47" s="61" t="s">
        <v>246</v>
      </c>
      <c r="E47" s="62">
        <v>1</v>
      </c>
      <c r="F47" s="63" t="s">
        <v>246</v>
      </c>
      <c r="G47" s="62">
        <v>1</v>
      </c>
      <c r="H47" s="63" t="s">
        <v>246</v>
      </c>
      <c r="I47" s="62">
        <v>1</v>
      </c>
      <c r="J47" s="63" t="s">
        <v>246</v>
      </c>
      <c r="K47" s="64">
        <v>1</v>
      </c>
      <c r="L47" s="61" t="s">
        <v>246</v>
      </c>
      <c r="M47" s="62">
        <v>1</v>
      </c>
      <c r="N47" s="63" t="s">
        <v>246</v>
      </c>
      <c r="O47" s="62">
        <v>1</v>
      </c>
      <c r="P47" s="63" t="s">
        <v>246</v>
      </c>
      <c r="Q47" s="62">
        <v>1</v>
      </c>
      <c r="R47" s="63" t="s">
        <v>246</v>
      </c>
      <c r="S47" s="64">
        <v>1</v>
      </c>
      <c r="T47" s="1"/>
      <c r="V47" t="s">
        <v>162</v>
      </c>
      <c r="W47">
        <f>IF('EU MDM-832'!D42&gt;Data!$AC$22,1,0)</f>
        <v>0</v>
      </c>
    </row>
    <row r="48" spans="1:36" x14ac:dyDescent="0.2">
      <c r="A48" s="1"/>
      <c r="B48" s="23" t="s">
        <v>205</v>
      </c>
      <c r="C48" s="1"/>
      <c r="D48" s="65" t="s">
        <v>127</v>
      </c>
      <c r="E48" s="62">
        <v>0</v>
      </c>
      <c r="F48" s="66" t="s">
        <v>127</v>
      </c>
      <c r="G48" s="62">
        <v>0</v>
      </c>
      <c r="H48" s="66" t="s">
        <v>127</v>
      </c>
      <c r="I48" s="62">
        <v>0</v>
      </c>
      <c r="J48" s="66" t="s">
        <v>127</v>
      </c>
      <c r="K48" s="64">
        <v>0</v>
      </c>
      <c r="L48" s="65" t="s">
        <v>127</v>
      </c>
      <c r="M48" s="62">
        <v>0</v>
      </c>
      <c r="N48" s="66" t="s">
        <v>127</v>
      </c>
      <c r="O48" s="62">
        <v>0</v>
      </c>
      <c r="P48" s="66" t="s">
        <v>127</v>
      </c>
      <c r="Q48" s="62">
        <v>0</v>
      </c>
      <c r="R48" s="66" t="s">
        <v>127</v>
      </c>
      <c r="S48" s="64">
        <v>0</v>
      </c>
      <c r="T48" s="1"/>
      <c r="V48" t="s">
        <v>201</v>
      </c>
      <c r="W48">
        <f>IF(OR('EU MDM-832'!H42&gt;Data!$AC$23,'EU MDM-832'!N42&gt;Data!$AC$23,),1,0)</f>
        <v>0</v>
      </c>
    </row>
    <row r="49" spans="1:36" x14ac:dyDescent="0.2">
      <c r="A49" s="1"/>
      <c r="B49" s="23" t="s">
        <v>121</v>
      </c>
      <c r="C49" s="1"/>
      <c r="D49" s="68">
        <v>30</v>
      </c>
      <c r="E49" s="29" t="s">
        <v>209</v>
      </c>
      <c r="F49" s="67">
        <v>30</v>
      </c>
      <c r="G49" s="29" t="s">
        <v>209</v>
      </c>
      <c r="H49" s="67">
        <v>30</v>
      </c>
      <c r="I49" s="29" t="s">
        <v>209</v>
      </c>
      <c r="J49" s="67">
        <v>30</v>
      </c>
      <c r="K49" s="28" t="s">
        <v>209</v>
      </c>
      <c r="L49" s="68">
        <v>30</v>
      </c>
      <c r="M49" s="29" t="s">
        <v>209</v>
      </c>
      <c r="N49" s="67">
        <v>30</v>
      </c>
      <c r="O49" s="29" t="s">
        <v>209</v>
      </c>
      <c r="P49" s="67">
        <v>30</v>
      </c>
      <c r="Q49" s="29" t="s">
        <v>209</v>
      </c>
      <c r="R49" s="67">
        <v>30</v>
      </c>
      <c r="S49" s="28" t="s">
        <v>209</v>
      </c>
      <c r="T49" s="1"/>
      <c r="V49" t="s">
        <v>202</v>
      </c>
      <c r="W49">
        <f>IF(OR('EU MDM-832'!H44&gt;Data!$AC$24,'EU MDM-832'!N44&gt;Data!$AC$24,),1,0)</f>
        <v>0</v>
      </c>
    </row>
    <row r="50" spans="1:36" ht="11" customHeight="1" x14ac:dyDescent="0.2">
      <c r="A50" s="1"/>
      <c r="B50" s="2"/>
      <c r="C50" s="1"/>
      <c r="D50" s="555" t="s">
        <v>210</v>
      </c>
      <c r="E50" s="556"/>
      <c r="F50" s="556"/>
      <c r="G50" s="556"/>
      <c r="H50" s="556"/>
      <c r="I50" s="556"/>
      <c r="J50" s="556"/>
      <c r="K50" s="558"/>
      <c r="L50" s="555" t="s">
        <v>210</v>
      </c>
      <c r="M50" s="556"/>
      <c r="N50" s="556"/>
      <c r="O50" s="556"/>
      <c r="P50" s="556"/>
      <c r="Q50" s="556"/>
      <c r="R50" s="556"/>
      <c r="S50" s="558"/>
      <c r="T50" s="1"/>
      <c r="V50" t="s">
        <v>204</v>
      </c>
      <c r="W50">
        <f>IF(OR('EU MDM-832'!D60&gt;Data!$AC$27,'EU MDM-832'!F60&gt;Data!$AC$27,'EU MDM-832'!H60&gt;Data!$AC$27,'EU MDM-832'!J60&gt;Data!$AC$27,'EU MDM-832'!L60&gt;Data!$AC$27,'EU MDM-832'!N60&gt;Data!$AC$27,'EU MDM-832'!P60&gt;Data!$AC$27,'EU MDM-832'!R60&gt;Data!$AC$27),1,0)</f>
        <v>0</v>
      </c>
    </row>
    <row r="51" spans="1:36" ht="6" customHeight="1" x14ac:dyDescent="0.2">
      <c r="A51" s="1"/>
      <c r="B51" s="2"/>
      <c r="C51" s="1"/>
      <c r="D51" s="3"/>
      <c r="E51" s="4"/>
      <c r="F51" s="5"/>
      <c r="G51" s="4"/>
      <c r="H51" s="5"/>
      <c r="I51" s="4"/>
      <c r="J51" s="5"/>
      <c r="K51" s="6"/>
      <c r="L51" s="3"/>
      <c r="M51" s="4"/>
      <c r="N51" s="5"/>
      <c r="O51" s="4"/>
      <c r="P51" s="5"/>
      <c r="Q51" s="4"/>
      <c r="R51" s="5"/>
      <c r="S51" s="6"/>
      <c r="T51" s="1"/>
    </row>
    <row r="52" spans="1:36" x14ac:dyDescent="0.2">
      <c r="A52" s="1"/>
      <c r="B52" s="23" t="s">
        <v>211</v>
      </c>
      <c r="C52" s="1"/>
      <c r="D52" s="12">
        <f>(((VLOOKUP(D47,Data!$R$4:$U$62,2,FALSE)*E47)+(VLOOKUP(D48,Data!$R$4:$U$62,2,FALSE)*E48))/E40)*Data!$R$3</f>
        <v>1.1000000000000001</v>
      </c>
      <c r="E52" s="13" t="str">
        <f>IF(H42&gt;Data!$AC$23,"&lt;&lt;&lt;","A RMS")</f>
        <v>A RMS</v>
      </c>
      <c r="F52" s="14">
        <f>(((VLOOKUP(F47,Data!$R$4:$U$62,2,FALSE)*G47)+(VLOOKUP(F48,Data!$R$4:$U$62,2,FALSE)*G48))/E40)*Data!$R$3</f>
        <v>1.1000000000000001</v>
      </c>
      <c r="G52" s="13" t="str">
        <f>IF(H42&gt;Data!$AC$23,"&lt;&lt;&lt;","A RMS")</f>
        <v>A RMS</v>
      </c>
      <c r="H52" s="14">
        <f>(((VLOOKUP(H47,Data!$R$4:$U$62,2,FALSE)*I47)+(VLOOKUP(H48,Data!$R$4:$U$62,2,FALSE)*I48))/E40)*Data!$R$3</f>
        <v>1.1000000000000001</v>
      </c>
      <c r="I52" s="13" t="str">
        <f>IF(H42&gt;Data!$AC$23,"&lt;&lt;&lt;","A RMS")</f>
        <v>A RMS</v>
      </c>
      <c r="J52" s="14">
        <f>(((VLOOKUP(J47,Data!$R$4:$U$62,2,FALSE)*K47)+(VLOOKUP(J48,Data!$R$4:$U$62,2,FALSE)*K48))/E40)*Data!$R$3</f>
        <v>1.1000000000000001</v>
      </c>
      <c r="K52" s="15" t="str">
        <f>IF(H42&gt;Data!$AC$23,"&lt;&lt;&lt;","A RMS")</f>
        <v>A RMS</v>
      </c>
      <c r="L52" s="12">
        <f>(((VLOOKUP(L47,Data!$R$4:$U$62,2,FALSE)*M47)+(VLOOKUP(L48,Data!$R$4:$U$62,2,FALSE)*M48))/E40)*Data!$R$3</f>
        <v>1.1000000000000001</v>
      </c>
      <c r="M52" s="13" t="str">
        <f>IF(N42&gt;Data!$AC$23,"&lt;&lt;&lt;","A RMS")</f>
        <v>A RMS</v>
      </c>
      <c r="N52" s="14">
        <f>(((VLOOKUP(N47,Data!$R$4:$U$62,2,FALSE)*O47)+(VLOOKUP(N48,Data!$R$4:$U$62,2,FALSE)*O48))/E40)*Data!$R$3</f>
        <v>1.1000000000000001</v>
      </c>
      <c r="O52" s="13" t="str">
        <f>IF(N42&gt;Data!$AC$23,"&lt;&lt;&lt;","A RMS")</f>
        <v>A RMS</v>
      </c>
      <c r="P52" s="14">
        <f>(((VLOOKUP(P47,Data!$R$4:$U$62,2,FALSE)*Q47)+(VLOOKUP(P48,Data!$R$4:$U$62,2,FALSE)*Q48))/E40)*Data!$R$3</f>
        <v>1.1000000000000001</v>
      </c>
      <c r="Q52" s="13" t="str">
        <f>IF(N42&gt;Data!$AC$23,"&lt;&lt;&lt;","A RMS")</f>
        <v>A RMS</v>
      </c>
      <c r="R52" s="14">
        <f>(((VLOOKUP(R47,Data!$R$4:$U$62,2,FALSE)*S47)+(VLOOKUP(R48,Data!$R$4:$U$62,2,FALSE)*S48))/E40)*Data!$R$3</f>
        <v>1.1000000000000001</v>
      </c>
      <c r="S52" s="15" t="str">
        <f>IF(N42&gt;Data!$AC$23,"&lt;&lt;&lt;","A RMS")</f>
        <v>A RMS</v>
      </c>
      <c r="T52" s="1"/>
      <c r="V52" t="s">
        <v>208</v>
      </c>
      <c r="W52">
        <f>SUM(W47:W50)</f>
        <v>0</v>
      </c>
    </row>
    <row r="53" spans="1:36" x14ac:dyDescent="0.2">
      <c r="A53" s="1"/>
      <c r="B53" s="23" t="s">
        <v>199</v>
      </c>
      <c r="C53" s="1"/>
      <c r="D53" s="12">
        <f>(((VLOOKUP(D47,Data!$R$4:$U$62,3,FALSE)*E47)+(VLOOKUP(D48,Data!$R$4:$U$62,3,FALSE)*E48))/E40)*Data!$R$3</f>
        <v>2.4</v>
      </c>
      <c r="E53" s="13" t="s">
        <v>116</v>
      </c>
      <c r="F53" s="14">
        <f>(((VLOOKUP(F47,Data!$R$4:$U$62,3,FALSE)*G47)+(VLOOKUP(F48,Data!$R$4:$U$62,3,FALSE)*G48))/E40)*Data!$R$3</f>
        <v>2.4</v>
      </c>
      <c r="G53" s="13" t="s">
        <v>116</v>
      </c>
      <c r="H53" s="14">
        <f>(((VLOOKUP(H47,Data!$R$4:$U$62,3,FALSE)*I47)+(VLOOKUP(H48,Data!$R$4:$U$62,3,FALSE)*I48))/E40)*Data!$R$3</f>
        <v>2.4</v>
      </c>
      <c r="I53" s="13" t="s">
        <v>116</v>
      </c>
      <c r="J53" s="14">
        <f>(((VLOOKUP(J47,Data!$R$4:$U$62,3,FALSE)*K47)+(VLOOKUP(J48,Data!$R$4:$U$62,3,FALSE)*K48))/E40)*Data!$R$3</f>
        <v>2.4</v>
      </c>
      <c r="K53" s="15" t="s">
        <v>116</v>
      </c>
      <c r="L53" s="12">
        <f>(((VLOOKUP(L47,Data!$R$4:$U$62,3,FALSE)*M47)+(VLOOKUP(L48,Data!$R$4:$U$62,3,FALSE)*M48))/E40)*Data!$R$3</f>
        <v>2.4</v>
      </c>
      <c r="M53" s="13" t="s">
        <v>116</v>
      </c>
      <c r="N53" s="14">
        <f>(((VLOOKUP(N47,Data!$R$4:$U$62,3,FALSE)*O47)+(VLOOKUP(N48,Data!$R$4:$U$62,3,FALSE)*O48))/E40)*Data!$R$3</f>
        <v>2.4</v>
      </c>
      <c r="O53" s="13" t="s">
        <v>116</v>
      </c>
      <c r="P53" s="14">
        <f>(((VLOOKUP(P47,Data!$R$4:$U$62,3,FALSE)*Q47)+(VLOOKUP(P48,Data!$R$4:$U$62,3,FALSE)*Q48))/E40)*Data!$R$3</f>
        <v>2.4</v>
      </c>
      <c r="Q53" s="13" t="s">
        <v>116</v>
      </c>
      <c r="R53" s="14">
        <f>(((VLOOKUP(R47,Data!$R$4:$U$62,3,FALSE)*S47)+(VLOOKUP(R48,Data!$R$4:$U$62,3,FALSE)*S48))/E40)*Data!$R$3</f>
        <v>2.4</v>
      </c>
      <c r="S53" s="15" t="s">
        <v>116</v>
      </c>
      <c r="T53" s="1"/>
    </row>
    <row r="54" spans="1:36" x14ac:dyDescent="0.2">
      <c r="A54" s="1"/>
      <c r="B54" s="23" t="s">
        <v>200</v>
      </c>
      <c r="C54" s="1"/>
      <c r="D54" s="12">
        <f>(((VLOOKUP(D47,Data!$R$4:$U$62,4,FALSE)*E47)+(VLOOKUP(D48,Data!$R$4:$U$62,4,FALSE)*E48))/E40)*Data!$R$3</f>
        <v>2.4</v>
      </c>
      <c r="E54" s="13" t="s">
        <v>117</v>
      </c>
      <c r="F54" s="14">
        <f>(((VLOOKUP(F47,Data!$R$4:$U$62,4,FALSE)*G47)+(VLOOKUP(F48,Data!$R$4:$U$62,4,FALSE)*G48))/E40)*Data!$R$3</f>
        <v>2.4</v>
      </c>
      <c r="G54" s="13" t="s">
        <v>117</v>
      </c>
      <c r="H54" s="14">
        <f>(((VLOOKUP(H47,Data!$R$4:$U$62,4,FALSE)*I47)+(VLOOKUP(H48,Data!$R$4:$U$62,4,FALSE)*I48))/E40)*Data!$R$3</f>
        <v>2.4</v>
      </c>
      <c r="I54" s="13" t="s">
        <v>117</v>
      </c>
      <c r="J54" s="14">
        <f>(((VLOOKUP(J47,Data!$R$4:$U$62,4,FALSE)*K47)+(VLOOKUP(J48,Data!$R$4:$U$62,4,FALSE)*K48))/E40)*Data!$R$3</f>
        <v>2.4</v>
      </c>
      <c r="K54" s="15" t="s">
        <v>117</v>
      </c>
      <c r="L54" s="12">
        <f>(((VLOOKUP(L47,Data!$R$4:$U$62,4,FALSE)*M47)+(VLOOKUP(L48,Data!$R$4:$U$62,4,FALSE)*M48))/E40)*Data!$R$3</f>
        <v>2.4</v>
      </c>
      <c r="M54" s="13" t="s">
        <v>117</v>
      </c>
      <c r="N54" s="14">
        <f>(((VLOOKUP(N47,Data!$R$4:$U$62,4,FALSE)*O47)+(VLOOKUP(N48,Data!$R$4:$U$62,4,FALSE)*O48))/E40)*Data!$R$3</f>
        <v>2.4</v>
      </c>
      <c r="O54" s="13" t="s">
        <v>117</v>
      </c>
      <c r="P54" s="14">
        <f>(((VLOOKUP(P47,Data!$R$4:$U$62,4,FALSE)*Q47)+(VLOOKUP(P48,Data!$R$4:$U$62,4,FALSE)*Q48))/E40)*Data!$R$3</f>
        <v>2.4</v>
      </c>
      <c r="Q54" s="13" t="s">
        <v>117</v>
      </c>
      <c r="R54" s="14">
        <f>(((VLOOKUP(R47,Data!$R$4:$U$62,4,FALSE)*S47)+(VLOOKUP(R48,Data!$R$4:$U$62,4,FALSE)*S48))/E40)*Data!$R$3</f>
        <v>2.4</v>
      </c>
      <c r="S54" s="15" t="s">
        <v>117</v>
      </c>
      <c r="T54" s="1"/>
    </row>
    <row r="55" spans="1:36" ht="6" customHeight="1" x14ac:dyDescent="0.2">
      <c r="A55" s="1"/>
      <c r="B55" s="2"/>
      <c r="C55" s="1"/>
      <c r="D55" s="43"/>
      <c r="E55" s="44"/>
      <c r="F55" s="45"/>
      <c r="G55" s="44"/>
      <c r="H55" s="45"/>
      <c r="I55" s="44"/>
      <c r="J55" s="45"/>
      <c r="K55" s="46"/>
      <c r="L55" s="43"/>
      <c r="M55" s="44"/>
      <c r="N55" s="45"/>
      <c r="O55" s="47"/>
      <c r="P55" s="45"/>
      <c r="Q55" s="44"/>
      <c r="R55" s="45"/>
      <c r="S55" s="46"/>
      <c r="T55" s="1"/>
    </row>
    <row r="56" spans="1:36" x14ac:dyDescent="0.2">
      <c r="A56" s="1"/>
      <c r="B56" s="23" t="s">
        <v>212</v>
      </c>
      <c r="C56" s="1"/>
      <c r="D56" s="17">
        <f>(17*(10^-8))*((2*D49)/(R40*(10^-5)))</f>
        <v>0.40800000000000003</v>
      </c>
      <c r="E56" s="16" t="s">
        <v>213</v>
      </c>
      <c r="F56" s="18">
        <f>(17*(10^-8))*((2*F49)/(R40*(10^-5)))</f>
        <v>0.40800000000000003</v>
      </c>
      <c r="G56" s="16" t="s">
        <v>213</v>
      </c>
      <c r="H56" s="18">
        <f>(17*(10^-8))*((2*H49)/(R40*(10^-5)))</f>
        <v>0.40800000000000003</v>
      </c>
      <c r="I56" s="16" t="s">
        <v>213</v>
      </c>
      <c r="J56" s="18">
        <f>(17*(10^-8))*((2*J49)/(R40*(10^-5)))</f>
        <v>0.40800000000000003</v>
      </c>
      <c r="K56" s="15" t="s">
        <v>213</v>
      </c>
      <c r="L56" s="17">
        <f>(17*(10^-8))*((2*L49)/(R40*(10^-5)))</f>
        <v>0.40800000000000003</v>
      </c>
      <c r="M56" s="16" t="s">
        <v>213</v>
      </c>
      <c r="N56" s="18">
        <f>(17*(10^-8))*((2*N49)/(R40*(10^-5)))</f>
        <v>0.40800000000000003</v>
      </c>
      <c r="O56" s="13" t="s">
        <v>213</v>
      </c>
      <c r="P56" s="18">
        <f>(17*(10^-8))*((2*P49)/(R40*(10^-5)))</f>
        <v>0.40800000000000003</v>
      </c>
      <c r="Q56" s="16" t="s">
        <v>213</v>
      </c>
      <c r="R56" s="18">
        <f>(17*(10^-8))*((2*R49)/(R40*(10^-5)))</f>
        <v>0.40800000000000003</v>
      </c>
      <c r="S56" s="15" t="s">
        <v>213</v>
      </c>
      <c r="T56" s="1"/>
    </row>
    <row r="57" spans="1:36" x14ac:dyDescent="0.2">
      <c r="A57" s="1"/>
      <c r="B57" s="23" t="s">
        <v>214</v>
      </c>
      <c r="C57" s="1"/>
      <c r="D57" s="19">
        <f>E40*SQRT(2)</f>
        <v>325.26911934581187</v>
      </c>
      <c r="E57" s="16" t="s">
        <v>215</v>
      </c>
      <c r="F57" s="20">
        <f>E40*SQRT(2)</f>
        <v>325.26911934581187</v>
      </c>
      <c r="G57" s="16" t="s">
        <v>215</v>
      </c>
      <c r="H57" s="20">
        <f>E40*SQRT(2)</f>
        <v>325.26911934581187</v>
      </c>
      <c r="I57" s="16" t="s">
        <v>215</v>
      </c>
      <c r="J57" s="20">
        <f>E40*SQRT(2)</f>
        <v>325.26911934581187</v>
      </c>
      <c r="K57" s="15" t="s">
        <v>215</v>
      </c>
      <c r="L57" s="19">
        <f>E40*SQRT(2)</f>
        <v>325.26911934581187</v>
      </c>
      <c r="M57" s="16" t="s">
        <v>215</v>
      </c>
      <c r="N57" s="20">
        <f>E40*SQRT(2)</f>
        <v>325.26911934581187</v>
      </c>
      <c r="O57" s="16" t="s">
        <v>215</v>
      </c>
      <c r="P57" s="20">
        <f>E40*SQRT(2)</f>
        <v>325.26911934581187</v>
      </c>
      <c r="Q57" s="16" t="s">
        <v>215</v>
      </c>
      <c r="R57" s="20">
        <f>E40*SQRT(2)</f>
        <v>325.26911934581187</v>
      </c>
      <c r="S57" s="15" t="s">
        <v>215</v>
      </c>
      <c r="T57" s="1"/>
    </row>
    <row r="58" spans="1:36" x14ac:dyDescent="0.2">
      <c r="A58" s="1"/>
      <c r="B58" s="23" t="s">
        <v>223</v>
      </c>
      <c r="C58" s="1"/>
      <c r="D58" s="12">
        <f>D54*D56</f>
        <v>0.97920000000000007</v>
      </c>
      <c r="E58" s="16" t="s">
        <v>215</v>
      </c>
      <c r="F58" s="14">
        <f>F54*F56</f>
        <v>0.97920000000000007</v>
      </c>
      <c r="G58" s="16" t="s">
        <v>215</v>
      </c>
      <c r="H58" s="14">
        <f>H54*H56</f>
        <v>0.97920000000000007</v>
      </c>
      <c r="I58" s="16" t="s">
        <v>215</v>
      </c>
      <c r="J58" s="14">
        <f>J54*J56</f>
        <v>0.97920000000000007</v>
      </c>
      <c r="K58" s="15" t="s">
        <v>215</v>
      </c>
      <c r="L58" s="12">
        <f>L54*L56</f>
        <v>0.97920000000000007</v>
      </c>
      <c r="M58" s="16" t="s">
        <v>215</v>
      </c>
      <c r="N58" s="14">
        <f>N54*N56</f>
        <v>0.97920000000000007</v>
      </c>
      <c r="O58" s="16" t="s">
        <v>215</v>
      </c>
      <c r="P58" s="14">
        <f>P54*P56</f>
        <v>0.97920000000000007</v>
      </c>
      <c r="Q58" s="16" t="s">
        <v>215</v>
      </c>
      <c r="R58" s="14">
        <f>R54*R56</f>
        <v>0.97920000000000007</v>
      </c>
      <c r="S58" s="15" t="s">
        <v>215</v>
      </c>
      <c r="T58" s="1"/>
    </row>
    <row r="59" spans="1:36" x14ac:dyDescent="0.2">
      <c r="A59" s="1"/>
      <c r="B59" s="23" t="s">
        <v>225</v>
      </c>
      <c r="C59" s="1"/>
      <c r="D59" s="19">
        <f>D57-D58</f>
        <v>324.28991934581188</v>
      </c>
      <c r="E59" s="16" t="s">
        <v>215</v>
      </c>
      <c r="F59" s="20">
        <f>F57-F58</f>
        <v>324.28991934581188</v>
      </c>
      <c r="G59" s="16" t="s">
        <v>215</v>
      </c>
      <c r="H59" s="20">
        <f>H57-H58</f>
        <v>324.28991934581188</v>
      </c>
      <c r="I59" s="16" t="s">
        <v>215</v>
      </c>
      <c r="J59" s="20">
        <f>J57-J58</f>
        <v>324.28991934581188</v>
      </c>
      <c r="K59" s="15" t="s">
        <v>215</v>
      </c>
      <c r="L59" s="19">
        <f>L57-L58</f>
        <v>324.28991934581188</v>
      </c>
      <c r="M59" s="16" t="s">
        <v>215</v>
      </c>
      <c r="N59" s="20">
        <f>N57-N58</f>
        <v>324.28991934581188</v>
      </c>
      <c r="O59" s="16" t="s">
        <v>215</v>
      </c>
      <c r="P59" s="20">
        <f>P57-P58</f>
        <v>324.28991934581188</v>
      </c>
      <c r="Q59" s="16" t="s">
        <v>215</v>
      </c>
      <c r="R59" s="20">
        <f>R57-R58</f>
        <v>324.28991934581188</v>
      </c>
      <c r="S59" s="15" t="s">
        <v>215</v>
      </c>
      <c r="T59" s="1"/>
    </row>
    <row r="60" spans="1:36" ht="17" thickBot="1" x14ac:dyDescent="0.25">
      <c r="A60" s="1"/>
      <c r="B60" s="24" t="s">
        <v>227</v>
      </c>
      <c r="C60" s="1"/>
      <c r="D60" s="141">
        <f>(D58*100)/D57</f>
        <v>0.30104302614689882</v>
      </c>
      <c r="E60" s="21" t="str">
        <f>IF(D60&gt;Data!$AC$27,"&lt;OVER!","% V Pk")</f>
        <v>% V Pk</v>
      </c>
      <c r="F60" s="142">
        <f>(F58*100)/F57</f>
        <v>0.30104302614689882</v>
      </c>
      <c r="G60" s="21" t="str">
        <f>IF(F60&gt;Data!$AC$27,"&lt;OVER!","% V Pk")</f>
        <v>% V Pk</v>
      </c>
      <c r="H60" s="142">
        <f>(H58*100)/H57</f>
        <v>0.30104302614689882</v>
      </c>
      <c r="I60" s="21" t="str">
        <f>IF(H60&gt;Data!$AC$27,"&lt;OVER!","% V Pk")</f>
        <v>% V Pk</v>
      </c>
      <c r="J60" s="142">
        <f>(J58*100)/J57</f>
        <v>0.30104302614689882</v>
      </c>
      <c r="K60" s="21" t="str">
        <f>IF(J60&gt;Data!$AC$27,"&lt;OVER!","% V Pk")</f>
        <v>% V Pk</v>
      </c>
      <c r="L60" s="141">
        <f>(L58*100)/L57</f>
        <v>0.30104302614689882</v>
      </c>
      <c r="M60" s="21" t="str">
        <f>IF(L60&gt;Data!$AC$27,"&lt;OVER!","% V Pk")</f>
        <v>% V Pk</v>
      </c>
      <c r="N60" s="142">
        <f>(N58*100)/N57</f>
        <v>0.30104302614689882</v>
      </c>
      <c r="O60" s="21" t="str">
        <f>IF(N60&gt;Data!$AC$27,"&lt;OVER!","% V Pk")</f>
        <v>% V Pk</v>
      </c>
      <c r="P60" s="142">
        <f>(P58*100)/P57</f>
        <v>0.30104302614689882</v>
      </c>
      <c r="Q60" s="21" t="str">
        <f>IF(P60&gt;Data!$AC$27,"&lt;OVER!","% V Pk")</f>
        <v>% V Pk</v>
      </c>
      <c r="R60" s="142">
        <f>(R58*100)/R57</f>
        <v>0.30104302614689882</v>
      </c>
      <c r="S60" s="22" t="str">
        <f>IF(R60&gt;Data!$AC$27,"&lt;OVER!","% V Pk")</f>
        <v>% V Pk</v>
      </c>
      <c r="T60" s="1"/>
      <c r="U60" s="571" t="s">
        <v>247</v>
      </c>
      <c r="W60" s="89"/>
      <c r="X60" s="90" t="s">
        <v>162</v>
      </c>
      <c r="Y60" s="90" t="s">
        <v>248</v>
      </c>
      <c r="Z60" s="90" t="s">
        <v>249</v>
      </c>
      <c r="AA60" s="90"/>
      <c r="AB60" s="89"/>
      <c r="AC60" s="90" t="s">
        <v>217</v>
      </c>
      <c r="AD60" s="90" t="s">
        <v>218</v>
      </c>
      <c r="AE60" s="90" t="s">
        <v>219</v>
      </c>
      <c r="AF60" s="90" t="s">
        <v>220</v>
      </c>
      <c r="AG60" s="90" t="s">
        <v>221</v>
      </c>
      <c r="AH60" s="90" t="s">
        <v>222</v>
      </c>
      <c r="AI60" s="90" t="s">
        <v>250</v>
      </c>
      <c r="AJ60" s="90" t="s">
        <v>251</v>
      </c>
    </row>
    <row r="61" spans="1:36" x14ac:dyDescent="0.2">
      <c r="A61" s="1"/>
      <c r="B61" s="1"/>
      <c r="C61" s="1"/>
      <c r="D61" s="1"/>
      <c r="E61" s="1"/>
      <c r="F61" s="1"/>
      <c r="G61" s="1"/>
      <c r="H61" s="1"/>
      <c r="I61" s="1"/>
      <c r="J61" s="1"/>
      <c r="K61" s="1"/>
      <c r="L61" s="1"/>
      <c r="M61" s="1"/>
      <c r="N61" s="1"/>
      <c r="O61" s="1"/>
      <c r="P61" s="1"/>
      <c r="Q61" s="1"/>
      <c r="R61" s="1"/>
      <c r="S61" s="1"/>
      <c r="T61" s="1"/>
      <c r="U61" s="571"/>
      <c r="W61" s="89" t="s">
        <v>224</v>
      </c>
      <c r="X61" s="90">
        <f>Data!$AC$6</f>
        <v>32</v>
      </c>
      <c r="Y61" s="90">
        <f>Data!$AC$23</f>
        <v>15</v>
      </c>
      <c r="Z61" s="90">
        <f>Data!$AC$23</f>
        <v>15</v>
      </c>
      <c r="AA61" s="90"/>
      <c r="AB61" s="89" t="s">
        <v>109</v>
      </c>
      <c r="AC61" s="91">
        <f>'EU MDM-832'!D52</f>
        <v>1.1000000000000001</v>
      </c>
      <c r="AD61" s="90">
        <f>'EU MDM-832'!F52</f>
        <v>1.1000000000000001</v>
      </c>
      <c r="AE61" s="90">
        <f>'EU MDM-832'!H52</f>
        <v>1.1000000000000001</v>
      </c>
      <c r="AF61" s="90">
        <f>'EU MDM-832'!J52</f>
        <v>1.1000000000000001</v>
      </c>
      <c r="AG61" s="90">
        <f>'EU MDM-832'!L52</f>
        <v>1.1000000000000001</v>
      </c>
      <c r="AH61" s="90">
        <f>'EU MDM-832'!N52</f>
        <v>1.1000000000000001</v>
      </c>
      <c r="AI61" s="90">
        <f>'EU MDM-832'!P52</f>
        <v>1.1000000000000001</v>
      </c>
      <c r="AJ61" s="90">
        <f>'EU MDM-832'!R52</f>
        <v>1.1000000000000001</v>
      </c>
    </row>
    <row r="62" spans="1:36" x14ac:dyDescent="0.2">
      <c r="A62" s="1"/>
      <c r="B62" s="1"/>
      <c r="C62" s="1"/>
      <c r="D62" s="1"/>
      <c r="E62" s="1"/>
      <c r="F62" s="1"/>
      <c r="G62" s="1"/>
      <c r="H62" s="1"/>
      <c r="I62" s="1"/>
      <c r="J62" s="1"/>
      <c r="K62" s="1"/>
      <c r="L62" s="1"/>
      <c r="M62" s="1"/>
      <c r="N62" s="1"/>
      <c r="O62" s="1"/>
      <c r="P62" s="1"/>
      <c r="Q62" s="1"/>
      <c r="R62" s="1"/>
      <c r="S62" s="1"/>
      <c r="T62" s="1"/>
      <c r="U62" s="571"/>
      <c r="W62" s="89"/>
      <c r="X62" s="90"/>
      <c r="Y62" s="90"/>
      <c r="Z62" s="90"/>
      <c r="AA62" s="90"/>
      <c r="AB62" s="89"/>
      <c r="AC62" s="90"/>
      <c r="AD62" s="90"/>
      <c r="AE62" s="90"/>
      <c r="AF62" s="90"/>
      <c r="AG62" s="90"/>
      <c r="AH62" s="90"/>
      <c r="AI62" s="90"/>
      <c r="AJ62" s="90"/>
    </row>
    <row r="63" spans="1:36" x14ac:dyDescent="0.2">
      <c r="A63" s="1"/>
      <c r="B63" s="1"/>
      <c r="C63" s="1"/>
      <c r="D63" s="1"/>
      <c r="E63" s="1"/>
      <c r="F63" s="1"/>
      <c r="G63" s="1"/>
      <c r="H63" s="1"/>
      <c r="I63" s="1"/>
      <c r="J63" s="1"/>
      <c r="K63" s="1"/>
      <c r="L63" s="1"/>
      <c r="M63" s="1"/>
      <c r="N63" s="1"/>
      <c r="O63" s="1"/>
      <c r="P63" s="1"/>
      <c r="Q63" s="1"/>
      <c r="R63" s="1"/>
      <c r="S63" s="1"/>
      <c r="T63" s="1"/>
      <c r="U63" s="571"/>
      <c r="W63" s="89" t="str">
        <f>'EU MDM-832'!B42</f>
        <v>MLTC + 30%</v>
      </c>
      <c r="X63" s="91">
        <f>'EU MDM-832'!D42</f>
        <v>11.44</v>
      </c>
      <c r="Y63" s="91">
        <f>'EU MDM-832'!H42</f>
        <v>4.4000000000000004</v>
      </c>
      <c r="Z63" s="92">
        <f>'EU MDM-832'!$N42</f>
        <v>4.4000000000000004</v>
      </c>
      <c r="AA63" s="90"/>
      <c r="AB63" s="89"/>
      <c r="AC63" s="90"/>
      <c r="AD63" s="90"/>
      <c r="AE63" s="90"/>
      <c r="AF63" s="90"/>
      <c r="AG63" s="90"/>
      <c r="AH63" s="90"/>
      <c r="AI63" s="90"/>
      <c r="AJ63" s="90"/>
    </row>
    <row r="64" spans="1:36" x14ac:dyDescent="0.2">
      <c r="A64" s="1"/>
      <c r="B64" s="1"/>
      <c r="C64" s="1"/>
      <c r="D64" s="1"/>
      <c r="E64" s="1"/>
      <c r="F64" s="1"/>
      <c r="G64" s="1"/>
      <c r="H64" s="1"/>
      <c r="I64" s="1"/>
      <c r="J64" s="1"/>
      <c r="K64" s="1"/>
      <c r="L64" s="1"/>
      <c r="M64" s="1"/>
      <c r="N64" s="1"/>
      <c r="O64" s="1"/>
      <c r="P64" s="1"/>
      <c r="Q64" s="1"/>
      <c r="R64" s="1"/>
      <c r="S64" s="1"/>
      <c r="T64" s="1"/>
      <c r="U64" s="571"/>
      <c r="W64" s="89" t="str">
        <f>'EU MDM-832'!B43</f>
        <v>Burst RMS</v>
      </c>
      <c r="X64" s="91">
        <f>'EU MDM-832'!D43</f>
        <v>19.2</v>
      </c>
      <c r="Y64" s="91">
        <f>'EU MDM-832'!H43</f>
        <v>9.6</v>
      </c>
      <c r="Z64" s="92">
        <f>'EU MDM-832'!$N43</f>
        <v>9.6</v>
      </c>
      <c r="AA64" s="90"/>
      <c r="AB64" s="89" t="s">
        <v>228</v>
      </c>
      <c r="AC64" s="90">
        <f>(100*AC61)/$Y61</f>
        <v>7.3333333333333339</v>
      </c>
      <c r="AD64" s="90">
        <f>(100*AD61)/$Y61</f>
        <v>7.3333333333333339</v>
      </c>
      <c r="AE64" s="90">
        <f>(100*AE61)/$Y61</f>
        <v>7.3333333333333339</v>
      </c>
      <c r="AF64" s="90">
        <f>(100*AF61)/$Y61</f>
        <v>7.3333333333333339</v>
      </c>
      <c r="AG64" s="90">
        <f>(100*AG61)/$Z61</f>
        <v>7.3333333333333339</v>
      </c>
      <c r="AH64" s="90">
        <f>(100*AH61)/$Z61</f>
        <v>7.3333333333333339</v>
      </c>
      <c r="AI64" s="90">
        <f>(100*AI61)/$Z61</f>
        <v>7.3333333333333339</v>
      </c>
      <c r="AJ64" s="90">
        <f>(100*AJ61)/$Z61</f>
        <v>7.3333333333333339</v>
      </c>
    </row>
    <row r="65" spans="1:36" x14ac:dyDescent="0.2">
      <c r="A65" s="1"/>
      <c r="B65" s="1"/>
      <c r="C65" s="1"/>
      <c r="D65" s="1"/>
      <c r="E65" s="1"/>
      <c r="F65" s="1"/>
      <c r="G65" s="1"/>
      <c r="H65" s="1"/>
      <c r="I65" s="1"/>
      <c r="J65" s="1"/>
      <c r="K65" s="1"/>
      <c r="L65" s="1"/>
      <c r="M65" s="1"/>
      <c r="N65" s="1"/>
      <c r="O65" s="1"/>
      <c r="P65" s="1"/>
      <c r="Q65" s="1"/>
      <c r="R65" s="1"/>
      <c r="S65" s="1"/>
      <c r="T65" s="1"/>
      <c r="U65" s="571"/>
      <c r="W65" s="89" t="str">
        <f>'EU MDM-832'!B44</f>
        <v>Max Inst Pk</v>
      </c>
      <c r="X65" s="91">
        <f>'EU MDM-832'!D44</f>
        <v>19.2</v>
      </c>
      <c r="Y65" s="91">
        <f>'EU MDM-832'!H44</f>
        <v>9.6</v>
      </c>
      <c r="Z65" s="92">
        <f>'EU MDM-832'!$N44</f>
        <v>9.6</v>
      </c>
      <c r="AA65" s="90"/>
      <c r="AB65" s="89" t="s">
        <v>229</v>
      </c>
      <c r="AC65" s="90">
        <f t="shared" ref="AC65:AJ65" si="5">AC64-100</f>
        <v>-92.666666666666671</v>
      </c>
      <c r="AD65" s="90">
        <f t="shared" si="5"/>
        <v>-92.666666666666671</v>
      </c>
      <c r="AE65" s="90">
        <f t="shared" si="5"/>
        <v>-92.666666666666671</v>
      </c>
      <c r="AF65" s="90">
        <f t="shared" si="5"/>
        <v>-92.666666666666671</v>
      </c>
      <c r="AG65" s="90">
        <f t="shared" si="5"/>
        <v>-92.666666666666671</v>
      </c>
      <c r="AH65" s="90">
        <f t="shared" si="5"/>
        <v>-92.666666666666671</v>
      </c>
      <c r="AI65" s="90">
        <f t="shared" si="5"/>
        <v>-92.666666666666671</v>
      </c>
      <c r="AJ65" s="90">
        <f t="shared" si="5"/>
        <v>-92.666666666666671</v>
      </c>
    </row>
    <row r="66" spans="1:36" x14ac:dyDescent="0.2">
      <c r="A66" s="1"/>
      <c r="B66" s="1"/>
      <c r="C66" s="1"/>
      <c r="D66" s="1"/>
      <c r="E66" s="1"/>
      <c r="F66" s="1"/>
      <c r="G66" s="1"/>
      <c r="H66" s="1"/>
      <c r="I66" s="1"/>
      <c r="J66" s="1"/>
      <c r="K66" s="1"/>
      <c r="L66" s="1"/>
      <c r="M66" s="1"/>
      <c r="N66" s="1"/>
      <c r="O66" s="1"/>
      <c r="P66" s="1"/>
      <c r="Q66" s="1"/>
      <c r="R66" s="1"/>
      <c r="S66" s="1"/>
      <c r="T66" s="1"/>
      <c r="U66" s="571"/>
      <c r="W66" s="89" t="s">
        <v>109</v>
      </c>
      <c r="X66" s="91">
        <f>(D52+F52+H52+J52+L52+N52+P52+R52)</f>
        <v>8.7999999999999989</v>
      </c>
      <c r="Y66" s="90"/>
      <c r="Z66" s="90"/>
      <c r="AA66" s="90"/>
      <c r="AB66" s="89" t="s">
        <v>230</v>
      </c>
      <c r="AC66" s="90">
        <f t="shared" ref="AC66:AJ66" si="6">IF(AC65&lt;0,AC64,100)</f>
        <v>7.3333333333333339</v>
      </c>
      <c r="AD66" s="90">
        <f t="shared" si="6"/>
        <v>7.3333333333333339</v>
      </c>
      <c r="AE66" s="90">
        <f t="shared" si="6"/>
        <v>7.3333333333333339</v>
      </c>
      <c r="AF66" s="90">
        <f t="shared" si="6"/>
        <v>7.3333333333333339</v>
      </c>
      <c r="AG66" s="90">
        <f t="shared" si="6"/>
        <v>7.3333333333333339</v>
      </c>
      <c r="AH66" s="90">
        <f t="shared" si="6"/>
        <v>7.3333333333333339</v>
      </c>
      <c r="AI66" s="90">
        <f t="shared" si="6"/>
        <v>7.3333333333333339</v>
      </c>
      <c r="AJ66" s="90">
        <f t="shared" si="6"/>
        <v>7.3333333333333339</v>
      </c>
    </row>
    <row r="67" spans="1:36" x14ac:dyDescent="0.2">
      <c r="A67" s="1"/>
      <c r="B67" s="1"/>
      <c r="C67" s="1"/>
      <c r="D67" s="1"/>
      <c r="E67" s="1"/>
      <c r="F67" s="1"/>
      <c r="G67" s="1"/>
      <c r="H67" s="1"/>
      <c r="I67" s="1"/>
      <c r="J67" s="1"/>
      <c r="K67" s="1"/>
      <c r="L67" s="1"/>
      <c r="M67" s="1"/>
      <c r="N67" s="1"/>
      <c r="O67" s="1"/>
      <c r="P67" s="1"/>
      <c r="Q67" s="1"/>
      <c r="R67" s="1"/>
      <c r="S67" s="1"/>
      <c r="T67" s="1"/>
      <c r="U67" s="571"/>
      <c r="W67" s="89"/>
      <c r="X67" s="90"/>
      <c r="Y67" s="90"/>
      <c r="Z67" s="90"/>
      <c r="AA67" s="90"/>
      <c r="AB67" s="89" t="s">
        <v>231</v>
      </c>
      <c r="AC67" s="90" t="e">
        <f t="shared" ref="AC67:AJ67" si="7">IF(AC64&gt;100,AC64-AC66,NA())</f>
        <v>#N/A</v>
      </c>
      <c r="AD67" s="90" t="e">
        <f t="shared" si="7"/>
        <v>#N/A</v>
      </c>
      <c r="AE67" s="90" t="e">
        <f t="shared" si="7"/>
        <v>#N/A</v>
      </c>
      <c r="AF67" s="90" t="e">
        <f t="shared" si="7"/>
        <v>#N/A</v>
      </c>
      <c r="AG67" s="90" t="e">
        <f t="shared" si="7"/>
        <v>#N/A</v>
      </c>
      <c r="AH67" s="90" t="e">
        <f t="shared" si="7"/>
        <v>#N/A</v>
      </c>
      <c r="AI67" s="90" t="e">
        <f t="shared" si="7"/>
        <v>#N/A</v>
      </c>
      <c r="AJ67" s="90" t="e">
        <f t="shared" si="7"/>
        <v>#N/A</v>
      </c>
    </row>
    <row r="68" spans="1:36" x14ac:dyDescent="0.2">
      <c r="A68" s="1"/>
      <c r="B68" s="1"/>
      <c r="C68" s="1"/>
      <c r="D68" s="1"/>
      <c r="E68" s="1"/>
      <c r="F68" s="1"/>
      <c r="G68" s="1"/>
      <c r="H68" s="1"/>
      <c r="I68" s="1"/>
      <c r="J68" s="1"/>
      <c r="K68" s="1"/>
      <c r="L68" s="1"/>
      <c r="M68" s="1"/>
      <c r="N68" s="1"/>
      <c r="O68" s="1"/>
      <c r="P68" s="1"/>
      <c r="Q68" s="1"/>
      <c r="R68" s="1"/>
      <c r="S68" s="1"/>
      <c r="T68" s="1"/>
      <c r="U68" s="571"/>
      <c r="W68" s="89" t="s">
        <v>228</v>
      </c>
      <c r="X68" s="90">
        <f>(100*X63)/X61</f>
        <v>35.75</v>
      </c>
      <c r="Y68" s="90">
        <f>(100*Y63)/Y61</f>
        <v>29.333333333333336</v>
      </c>
      <c r="Z68" s="90">
        <f>(100*Z63)/Z61</f>
        <v>29.333333333333336</v>
      </c>
      <c r="AA68" s="90"/>
      <c r="AB68" s="89" t="s">
        <v>232</v>
      </c>
      <c r="AC68" s="90">
        <f>Data!$AC$13</f>
        <v>10</v>
      </c>
      <c r="AD68" s="90">
        <f>Data!$AC$13</f>
        <v>10</v>
      </c>
      <c r="AE68" s="90">
        <f>Data!$AC$13</f>
        <v>10</v>
      </c>
      <c r="AF68" s="90">
        <f>Data!$AC$13</f>
        <v>10</v>
      </c>
      <c r="AG68" s="90">
        <f>Data!$AC$13</f>
        <v>10</v>
      </c>
      <c r="AH68" s="90">
        <f>Data!$AC$13</f>
        <v>10</v>
      </c>
      <c r="AI68" s="90">
        <f>Data!$AC$13</f>
        <v>10</v>
      </c>
      <c r="AJ68" s="90">
        <f>Data!$AC$13</f>
        <v>10</v>
      </c>
    </row>
    <row r="69" spans="1:36" x14ac:dyDescent="0.2">
      <c r="A69" s="1"/>
      <c r="B69" s="1"/>
      <c r="C69" s="1"/>
      <c r="D69" s="1"/>
      <c r="E69" s="1"/>
      <c r="F69" s="1"/>
      <c r="G69" s="1"/>
      <c r="H69" s="1"/>
      <c r="I69" s="1"/>
      <c r="J69" s="1"/>
      <c r="K69" s="1"/>
      <c r="L69" s="1"/>
      <c r="M69" s="1"/>
      <c r="N69" s="1"/>
      <c r="O69" s="1"/>
      <c r="P69" s="1"/>
      <c r="Q69" s="1"/>
      <c r="R69" s="1"/>
      <c r="S69" s="1"/>
      <c r="T69" s="1"/>
      <c r="U69" s="571"/>
      <c r="W69" s="89" t="s">
        <v>229</v>
      </c>
      <c r="X69" s="90">
        <f>X68-100</f>
        <v>-64.25</v>
      </c>
      <c r="Y69" s="90">
        <f>Y68-100</f>
        <v>-70.666666666666657</v>
      </c>
      <c r="Z69" s="90">
        <f>Z68-100</f>
        <v>-70.666666666666657</v>
      </c>
      <c r="AA69" s="90"/>
      <c r="AB69" s="89" t="s">
        <v>233</v>
      </c>
      <c r="AC69" s="92">
        <f>-'EU MDM-832'!$D60</f>
        <v>-0.30104302614689882</v>
      </c>
      <c r="AD69" s="92">
        <f>-'EU MDM-832'!$F60</f>
        <v>-0.30104302614689882</v>
      </c>
      <c r="AE69" s="92">
        <f>-'EU MDM-832'!$H60</f>
        <v>-0.30104302614689882</v>
      </c>
      <c r="AF69" s="92">
        <f>-'EU MDM-832'!$J60</f>
        <v>-0.30104302614689882</v>
      </c>
      <c r="AG69" s="92">
        <f>-'EU MDM-832'!$L60</f>
        <v>-0.30104302614689882</v>
      </c>
      <c r="AH69" s="92">
        <f>-'EU MDM-832'!$N60</f>
        <v>-0.30104302614689882</v>
      </c>
      <c r="AI69" s="92">
        <f>-'EU MDM-832'!$P60</f>
        <v>-0.30104302614689882</v>
      </c>
      <c r="AJ69" s="92">
        <f>-'EU MDM-832'!$R60</f>
        <v>-0.30104302614689882</v>
      </c>
    </row>
    <row r="70" spans="1:36" x14ac:dyDescent="0.2">
      <c r="A70" s="1"/>
      <c r="B70" s="1"/>
      <c r="C70" s="1"/>
      <c r="D70" s="1"/>
      <c r="E70" s="1"/>
      <c r="F70" s="1"/>
      <c r="G70" s="1"/>
      <c r="H70" s="1"/>
      <c r="I70" s="1"/>
      <c r="J70" s="1"/>
      <c r="K70" s="1"/>
      <c r="L70" s="1"/>
      <c r="M70" s="1"/>
      <c r="N70" s="1"/>
      <c r="O70" s="1"/>
      <c r="P70" s="1"/>
      <c r="Q70" s="1"/>
      <c r="R70" s="1"/>
      <c r="S70" s="1"/>
      <c r="T70" s="1"/>
      <c r="U70" s="571"/>
      <c r="W70" s="89" t="s">
        <v>230</v>
      </c>
      <c r="X70" s="90">
        <f>IF(X69&lt;0,X68,100)</f>
        <v>35.75</v>
      </c>
      <c r="Y70" s="90">
        <f>IF(Y69&lt;0,Y68,100)</f>
        <v>29.333333333333336</v>
      </c>
      <c r="Z70" s="90">
        <f>IF(Z69&lt;0,Z68,100)</f>
        <v>29.333333333333336</v>
      </c>
      <c r="AA70" s="90"/>
      <c r="AB70" s="89" t="s">
        <v>234</v>
      </c>
      <c r="AC70" s="90">
        <f t="shared" ref="AC70:AJ70" si="8">IF(AC69&gt;-AC68,AC69,-AC68)</f>
        <v>-0.30104302614689882</v>
      </c>
      <c r="AD70" s="90">
        <f t="shared" si="8"/>
        <v>-0.30104302614689882</v>
      </c>
      <c r="AE70" s="90">
        <f t="shared" si="8"/>
        <v>-0.30104302614689882</v>
      </c>
      <c r="AF70" s="90">
        <f t="shared" si="8"/>
        <v>-0.30104302614689882</v>
      </c>
      <c r="AG70" s="90">
        <f t="shared" si="8"/>
        <v>-0.30104302614689882</v>
      </c>
      <c r="AH70" s="90">
        <f t="shared" si="8"/>
        <v>-0.30104302614689882</v>
      </c>
      <c r="AI70" s="90">
        <f t="shared" si="8"/>
        <v>-0.30104302614689882</v>
      </c>
      <c r="AJ70" s="90">
        <f t="shared" si="8"/>
        <v>-0.30104302614689882</v>
      </c>
    </row>
    <row r="71" spans="1:36" x14ac:dyDescent="0.2">
      <c r="A71" s="1"/>
      <c r="B71" s="1"/>
      <c r="C71" s="1"/>
      <c r="D71" s="1"/>
      <c r="E71" s="1"/>
      <c r="F71" s="1"/>
      <c r="G71" s="1"/>
      <c r="H71" s="1"/>
      <c r="I71" s="1"/>
      <c r="J71" s="1"/>
      <c r="K71" s="1"/>
      <c r="L71" s="1"/>
      <c r="M71" s="1"/>
      <c r="N71" s="1"/>
      <c r="O71" s="1"/>
      <c r="P71" s="1"/>
      <c r="Q71" s="1"/>
      <c r="R71" s="1"/>
      <c r="S71" s="1"/>
      <c r="T71" s="1"/>
      <c r="U71" s="571"/>
      <c r="W71" s="89" t="s">
        <v>231</v>
      </c>
      <c r="X71" s="90" t="e">
        <f>IF(X68&gt;100,X68-X70,NA())</f>
        <v>#N/A</v>
      </c>
      <c r="Y71" s="90" t="e">
        <f>IF(Y68&gt;100,Y68-Y70,NA())</f>
        <v>#N/A</v>
      </c>
      <c r="Z71" s="90" t="e">
        <f>IF(Z68&gt;100,Z68-Z70,NA())</f>
        <v>#N/A</v>
      </c>
      <c r="AA71" s="90"/>
      <c r="AB71" s="89" t="s">
        <v>235</v>
      </c>
      <c r="AC71" s="90" t="e">
        <f t="shared" ref="AC71:AJ71" si="9">IF(AC69&gt;-AC68,NA(),AC69+AC68)</f>
        <v>#N/A</v>
      </c>
      <c r="AD71" s="90" t="e">
        <f t="shared" si="9"/>
        <v>#N/A</v>
      </c>
      <c r="AE71" s="90" t="e">
        <f t="shared" si="9"/>
        <v>#N/A</v>
      </c>
      <c r="AF71" s="90" t="e">
        <f t="shared" si="9"/>
        <v>#N/A</v>
      </c>
      <c r="AG71" s="90" t="e">
        <f t="shared" si="9"/>
        <v>#N/A</v>
      </c>
      <c r="AH71" s="90" t="e">
        <f t="shared" si="9"/>
        <v>#N/A</v>
      </c>
      <c r="AI71" s="90" t="e">
        <f t="shared" si="9"/>
        <v>#N/A</v>
      </c>
      <c r="AJ71" s="90" t="e">
        <f t="shared" si="9"/>
        <v>#N/A</v>
      </c>
    </row>
    <row r="72" spans="1:36" x14ac:dyDescent="0.2">
      <c r="A72" s="1"/>
      <c r="B72" s="1"/>
      <c r="C72" s="1"/>
      <c r="D72" s="1"/>
      <c r="E72" s="1"/>
      <c r="F72" s="1"/>
      <c r="G72" s="1"/>
      <c r="H72" s="1"/>
      <c r="I72" s="1"/>
      <c r="J72" s="1"/>
      <c r="K72" s="1"/>
      <c r="L72" s="1"/>
      <c r="M72" s="1"/>
      <c r="N72" s="1"/>
      <c r="O72" s="1"/>
      <c r="P72" s="1"/>
      <c r="Q72" s="1"/>
      <c r="R72" s="1"/>
      <c r="S72" s="1"/>
      <c r="T72" s="1"/>
      <c r="U72" s="571"/>
      <c r="W72" s="89"/>
      <c r="X72" s="90"/>
      <c r="Y72" s="90"/>
      <c r="Z72" s="90"/>
      <c r="AA72" s="90"/>
      <c r="AB72" s="89"/>
    </row>
    <row r="73" spans="1:36" x14ac:dyDescent="0.2">
      <c r="A73" s="1"/>
      <c r="B73" s="1"/>
      <c r="C73" s="1"/>
      <c r="D73" s="1"/>
      <c r="E73" s="1"/>
      <c r="F73" s="1"/>
      <c r="G73" s="1"/>
      <c r="H73" s="1"/>
      <c r="I73" s="1"/>
      <c r="J73" s="1"/>
      <c r="K73" s="1"/>
      <c r="L73" s="1"/>
      <c r="M73" s="1"/>
      <c r="N73" s="1"/>
      <c r="O73" s="1"/>
      <c r="P73" s="1"/>
      <c r="Q73" s="1"/>
      <c r="R73" s="1"/>
      <c r="S73" s="1"/>
      <c r="T73" s="1"/>
      <c r="U73" s="571"/>
      <c r="W73" s="89"/>
      <c r="X73" s="90"/>
      <c r="Y73" s="90"/>
      <c r="Z73" s="90"/>
      <c r="AA73" s="90"/>
      <c r="AB73" s="89"/>
    </row>
    <row r="74" spans="1:36" x14ac:dyDescent="0.2">
      <c r="A74" s="1"/>
      <c r="B74" s="1"/>
      <c r="C74" s="1"/>
      <c r="D74" s="1"/>
      <c r="E74" s="1"/>
      <c r="F74" s="1"/>
      <c r="G74" s="1"/>
      <c r="H74" s="1"/>
      <c r="I74" s="1"/>
      <c r="J74" s="1"/>
      <c r="K74" s="1"/>
      <c r="L74" s="1"/>
      <c r="M74" s="1"/>
      <c r="N74" s="1"/>
      <c r="O74" s="1"/>
      <c r="P74" s="1"/>
      <c r="Q74" s="1"/>
      <c r="R74" s="1"/>
      <c r="S74" s="1"/>
      <c r="T74" s="1"/>
      <c r="U74" s="571"/>
      <c r="W74" s="89"/>
      <c r="X74" s="90"/>
      <c r="Y74" s="90"/>
      <c r="Z74" s="90"/>
      <c r="AA74" s="90"/>
      <c r="AB74" s="89"/>
    </row>
    <row r="75" spans="1:36" x14ac:dyDescent="0.2">
      <c r="A75" s="1"/>
      <c r="B75" s="1"/>
      <c r="C75" s="1"/>
      <c r="D75" s="1"/>
      <c r="E75" s="1"/>
      <c r="F75" s="1"/>
      <c r="G75" s="1"/>
      <c r="H75" s="1"/>
      <c r="I75" s="1"/>
      <c r="J75" s="1"/>
      <c r="K75" s="1"/>
      <c r="L75" s="1"/>
      <c r="M75" s="1"/>
      <c r="N75" s="1"/>
      <c r="O75" s="1"/>
      <c r="P75" s="1"/>
      <c r="Q75" s="1"/>
      <c r="R75" s="1"/>
      <c r="S75" s="1"/>
      <c r="T75" s="1"/>
      <c r="U75" s="571"/>
      <c r="W75" s="89"/>
      <c r="X75" s="90"/>
      <c r="Y75" s="90"/>
      <c r="Z75" s="90"/>
      <c r="AA75" s="90"/>
      <c r="AB75" s="89"/>
    </row>
    <row r="76" spans="1:36" ht="17" thickBot="1" x14ac:dyDescent="0.25">
      <c r="A76" s="160"/>
      <c r="B76" s="168" t="str">
        <f>Data!$T$1</f>
        <v>Meyer Sound Laboratories, Inc. Berkeley, California, USA                                 www.meyersound.com</v>
      </c>
      <c r="C76" s="160"/>
      <c r="D76" s="160"/>
      <c r="E76" s="160"/>
      <c r="F76" s="160"/>
      <c r="G76" s="160"/>
      <c r="H76" s="160"/>
      <c r="I76" s="160"/>
      <c r="J76" s="160"/>
      <c r="K76" s="160"/>
      <c r="L76" s="160"/>
      <c r="M76" s="160"/>
      <c r="N76" s="160"/>
      <c r="O76" s="160"/>
      <c r="P76" s="160"/>
      <c r="Q76" s="160"/>
      <c r="R76" s="160"/>
      <c r="S76" s="160"/>
      <c r="T76" s="126" t="str">
        <f>Data!$G$1</f>
        <v>© 2021</v>
      </c>
      <c r="U76" s="571"/>
    </row>
    <row r="77" spans="1:36" ht="17" thickBot="1" x14ac:dyDescent="0.25">
      <c r="A77" s="1"/>
      <c r="B77" s="1"/>
      <c r="C77" s="1"/>
      <c r="D77" s="1"/>
      <c r="E77" s="1"/>
      <c r="F77" s="1"/>
      <c r="G77" s="1"/>
      <c r="H77" s="1"/>
      <c r="I77" s="1"/>
      <c r="J77" s="1"/>
      <c r="K77" s="1"/>
      <c r="L77" s="1"/>
      <c r="M77" s="1"/>
      <c r="N77" s="1"/>
      <c r="O77" s="1"/>
      <c r="P77" s="1"/>
      <c r="Q77" s="1"/>
      <c r="R77" s="1"/>
      <c r="S77" s="126" t="str">
        <f>Data!$M$1</f>
        <v>06.257.005.01 C</v>
      </c>
      <c r="T77" s="1"/>
    </row>
    <row r="78" spans="1:36" x14ac:dyDescent="0.2">
      <c r="A78" s="1"/>
      <c r="B78" s="10" t="s">
        <v>192</v>
      </c>
      <c r="C78" s="1"/>
      <c r="D78" s="11" t="s">
        <v>239</v>
      </c>
      <c r="E78" s="154">
        <f>'Master EU'!$N$5</f>
        <v>230</v>
      </c>
      <c r="F78" s="1"/>
      <c r="G78" s="1"/>
      <c r="H78" s="572" t="s">
        <v>240</v>
      </c>
      <c r="I78" s="573"/>
      <c r="J78" s="7"/>
      <c r="K78" s="55"/>
      <c r="L78" s="1"/>
      <c r="M78" s="1"/>
      <c r="N78" s="53" t="s">
        <v>241</v>
      </c>
      <c r="O78" s="54"/>
      <c r="P78" s="27" t="s">
        <v>194</v>
      </c>
      <c r="Q78" s="27"/>
      <c r="R78" s="31">
        <v>2.5</v>
      </c>
      <c r="S78" s="30" t="s">
        <v>107</v>
      </c>
      <c r="T78" s="1"/>
    </row>
    <row r="79" spans="1:36" ht="5" customHeight="1" x14ac:dyDescent="0.25">
      <c r="A79" s="1"/>
      <c r="B79" s="2"/>
      <c r="C79" s="1"/>
      <c r="D79" s="5"/>
      <c r="E79" s="7"/>
      <c r="F79" s="1"/>
      <c r="G79" s="8"/>
      <c r="H79" s="56"/>
      <c r="I79" s="57"/>
      <c r="J79" s="1"/>
      <c r="K79" s="1"/>
      <c r="L79" s="7"/>
      <c r="M79" s="8"/>
      <c r="N79" s="58"/>
      <c r="O79" s="59"/>
      <c r="P79" s="1"/>
      <c r="Q79" s="1"/>
      <c r="R79" s="1"/>
      <c r="S79" s="1"/>
      <c r="T79" s="1"/>
    </row>
    <row r="80" spans="1:36" ht="15" customHeight="1" x14ac:dyDescent="0.2">
      <c r="A80" s="1"/>
      <c r="B80" s="23" t="str">
        <f>_xlfn.TEXTJOIN("",FALSE,"MLTC + ",'Master EU'!D11,"%")</f>
        <v>MLTC + 30%</v>
      </c>
      <c r="C80" s="1"/>
      <c r="D80" s="25">
        <f>(D90+F90+H90+J90+L90+N90+P90+R90)*(1+('Master EU'!D11/100))</f>
        <v>11.44</v>
      </c>
      <c r="E80" s="13" t="str">
        <f>IF(D80&gt;Data!$AC$22,"&lt;OVER!","A RMS")</f>
        <v>A RMS</v>
      </c>
      <c r="F80" s="580" t="s">
        <v>242</v>
      </c>
      <c r="G80" s="581"/>
      <c r="H80" s="48">
        <f>D90+F90+H90+J90</f>
        <v>4.4000000000000004</v>
      </c>
      <c r="I80" s="49" t="str">
        <f>IF(H80&gt;Data!$AC$23,"&lt;OVER!","A RMS")</f>
        <v>A RMS</v>
      </c>
      <c r="J80" s="574" t="s">
        <v>109</v>
      </c>
      <c r="K80" s="575"/>
      <c r="L80" s="575"/>
      <c r="M80" s="576"/>
      <c r="N80" s="48">
        <f>L90+N90+P90+R90</f>
        <v>4.4000000000000004</v>
      </c>
      <c r="O80" s="49" t="str">
        <f>IF(N80&gt;Data!$AC$23,"&lt;OVER!","A RMS")</f>
        <v>A RMS</v>
      </c>
      <c r="P80" s="1"/>
      <c r="Q80" s="562" t="str">
        <f>IF('EU MDM-832'!W90&gt;0,"N O !","O K")</f>
        <v>O K</v>
      </c>
      <c r="R80" s="563"/>
      <c r="S80" s="568">
        <v>3</v>
      </c>
      <c r="T80" s="569"/>
    </row>
    <row r="81" spans="1:23" ht="15" customHeight="1" x14ac:dyDescent="0.2">
      <c r="A81" s="1"/>
      <c r="B81" s="23" t="s">
        <v>199</v>
      </c>
      <c r="C81" s="1"/>
      <c r="D81" s="25">
        <f>(D91+F91+H91+J91+L91+N91+P91+R91)</f>
        <v>19.2</v>
      </c>
      <c r="E81" s="13" t="s">
        <v>116</v>
      </c>
      <c r="F81" s="580"/>
      <c r="G81" s="581"/>
      <c r="H81" s="48">
        <f>D91+F91+H91+J91</f>
        <v>9.6</v>
      </c>
      <c r="I81" s="50" t="s">
        <v>243</v>
      </c>
      <c r="J81" s="577" t="s">
        <v>110</v>
      </c>
      <c r="K81" s="578"/>
      <c r="L81" s="578"/>
      <c r="M81" s="579"/>
      <c r="N81" s="48">
        <f>L91+N91+P91+R91</f>
        <v>9.6</v>
      </c>
      <c r="O81" s="50" t="s">
        <v>243</v>
      </c>
      <c r="P81" s="1"/>
      <c r="Q81" s="564"/>
      <c r="R81" s="565"/>
      <c r="S81" s="568"/>
      <c r="T81" s="569"/>
    </row>
    <row r="82" spans="1:23" ht="15" customHeight="1" thickBot="1" x14ac:dyDescent="0.25">
      <c r="A82" s="1"/>
      <c r="B82" s="24" t="s">
        <v>200</v>
      </c>
      <c r="C82" s="1"/>
      <c r="D82" s="26">
        <f>(D92+F92+H92+J92+L92+N92+P92+R92)</f>
        <v>19.2</v>
      </c>
      <c r="E82" s="60" t="s">
        <v>117</v>
      </c>
      <c r="F82" s="580"/>
      <c r="G82" s="581"/>
      <c r="H82" s="51">
        <f>D92+F92+H92+J92</f>
        <v>9.6</v>
      </c>
      <c r="I82" s="52" t="str">
        <f>IF(H82&gt;Data!$AC$24,"&lt;OVER!","A Pk")</f>
        <v>A Pk</v>
      </c>
      <c r="J82" s="577" t="s">
        <v>200</v>
      </c>
      <c r="K82" s="578"/>
      <c r="L82" s="578"/>
      <c r="M82" s="579"/>
      <c r="N82" s="51">
        <f>L92+N92+P92+R92</f>
        <v>9.6</v>
      </c>
      <c r="O82" s="52" t="str">
        <f>IF(N82&gt;Data!$AC$24,"&lt;OVER!","A Pk")</f>
        <v>A Pk</v>
      </c>
      <c r="P82" s="1"/>
      <c r="Q82" s="566"/>
      <c r="R82" s="567"/>
      <c r="S82" s="568"/>
      <c r="T82" s="569"/>
    </row>
    <row r="83" spans="1:23" ht="8" customHeight="1" thickBot="1" x14ac:dyDescent="0.25">
      <c r="A83" s="1"/>
      <c r="B83" s="1"/>
      <c r="C83" s="1"/>
      <c r="D83" s="1"/>
      <c r="E83" s="1"/>
      <c r="F83" s="1"/>
      <c r="G83" s="1"/>
      <c r="H83" s="1"/>
      <c r="I83" s="1"/>
      <c r="J83" s="1"/>
      <c r="K83" s="1"/>
      <c r="L83" s="1"/>
      <c r="M83" s="1"/>
      <c r="N83" s="1"/>
      <c r="O83" s="1"/>
      <c r="P83" s="1"/>
      <c r="Q83" s="1"/>
      <c r="R83" s="1"/>
      <c r="S83" s="1"/>
      <c r="T83" s="1"/>
    </row>
    <row r="84" spans="1:23" x14ac:dyDescent="0.2">
      <c r="A84" s="1"/>
      <c r="B84" s="10" t="s">
        <v>203</v>
      </c>
      <c r="C84" s="1"/>
      <c r="D84" s="560">
        <v>1</v>
      </c>
      <c r="E84" s="561"/>
      <c r="F84" s="553">
        <v>2</v>
      </c>
      <c r="G84" s="561"/>
      <c r="H84" s="553">
        <v>3</v>
      </c>
      <c r="I84" s="561"/>
      <c r="J84" s="553">
        <v>4</v>
      </c>
      <c r="K84" s="554"/>
      <c r="L84" s="560">
        <v>5</v>
      </c>
      <c r="M84" s="561"/>
      <c r="N84" s="553">
        <v>6</v>
      </c>
      <c r="O84" s="561"/>
      <c r="P84" s="553">
        <v>7</v>
      </c>
      <c r="Q84" s="561"/>
      <c r="R84" s="553">
        <v>8</v>
      </c>
      <c r="S84" s="554"/>
      <c r="T84" s="1"/>
      <c r="V84" t="s">
        <v>244</v>
      </c>
    </row>
    <row r="85" spans="1:23" x14ac:dyDescent="0.2">
      <c r="A85" s="1"/>
      <c r="B85" s="23" t="s">
        <v>205</v>
      </c>
      <c r="C85" s="1"/>
      <c r="D85" s="61" t="s">
        <v>246</v>
      </c>
      <c r="E85" s="62">
        <v>1</v>
      </c>
      <c r="F85" s="63" t="s">
        <v>246</v>
      </c>
      <c r="G85" s="62">
        <v>1</v>
      </c>
      <c r="H85" s="63" t="s">
        <v>246</v>
      </c>
      <c r="I85" s="62">
        <v>1</v>
      </c>
      <c r="J85" s="63" t="s">
        <v>246</v>
      </c>
      <c r="K85" s="64">
        <v>1</v>
      </c>
      <c r="L85" s="61" t="s">
        <v>246</v>
      </c>
      <c r="M85" s="62">
        <v>1</v>
      </c>
      <c r="N85" s="63" t="s">
        <v>246</v>
      </c>
      <c r="O85" s="62">
        <v>1</v>
      </c>
      <c r="P85" s="63" t="s">
        <v>246</v>
      </c>
      <c r="Q85" s="62">
        <v>1</v>
      </c>
      <c r="R85" s="63" t="s">
        <v>246</v>
      </c>
      <c r="S85" s="64">
        <v>1</v>
      </c>
      <c r="T85" s="1"/>
      <c r="V85" t="s">
        <v>162</v>
      </c>
      <c r="W85">
        <f>IF('EU MDM-832'!D80&gt;Data!$AC$22,1,0)</f>
        <v>0</v>
      </c>
    </row>
    <row r="86" spans="1:23" x14ac:dyDescent="0.2">
      <c r="A86" s="1"/>
      <c r="B86" s="23" t="s">
        <v>205</v>
      </c>
      <c r="C86" s="1"/>
      <c r="D86" s="65" t="s">
        <v>127</v>
      </c>
      <c r="E86" s="62">
        <v>0</v>
      </c>
      <c r="F86" s="66" t="s">
        <v>127</v>
      </c>
      <c r="G86" s="62">
        <v>0</v>
      </c>
      <c r="H86" s="66" t="s">
        <v>127</v>
      </c>
      <c r="I86" s="62">
        <v>0</v>
      </c>
      <c r="J86" s="66" t="s">
        <v>127</v>
      </c>
      <c r="K86" s="64">
        <v>0</v>
      </c>
      <c r="L86" s="65" t="s">
        <v>127</v>
      </c>
      <c r="M86" s="62">
        <v>0</v>
      </c>
      <c r="N86" s="66" t="s">
        <v>127</v>
      </c>
      <c r="O86" s="62">
        <v>0</v>
      </c>
      <c r="P86" s="66" t="s">
        <v>127</v>
      </c>
      <c r="Q86" s="62">
        <v>0</v>
      </c>
      <c r="R86" s="66" t="s">
        <v>127</v>
      </c>
      <c r="S86" s="64">
        <v>0</v>
      </c>
      <c r="T86" s="1"/>
      <c r="V86" t="s">
        <v>201</v>
      </c>
      <c r="W86">
        <f>IF(OR('EU MDM-832'!H80&gt;Data!$AC$23,'EU MDM-832'!N80&gt;Data!$AC$23,),1,0)</f>
        <v>0</v>
      </c>
    </row>
    <row r="87" spans="1:23" x14ac:dyDescent="0.2">
      <c r="A87" s="1"/>
      <c r="B87" s="23" t="s">
        <v>121</v>
      </c>
      <c r="C87" s="1"/>
      <c r="D87" s="68">
        <v>30</v>
      </c>
      <c r="E87" s="29" t="s">
        <v>209</v>
      </c>
      <c r="F87" s="67">
        <v>30</v>
      </c>
      <c r="G87" s="29" t="s">
        <v>209</v>
      </c>
      <c r="H87" s="67">
        <v>30</v>
      </c>
      <c r="I87" s="29" t="s">
        <v>209</v>
      </c>
      <c r="J87" s="67">
        <v>30</v>
      </c>
      <c r="K87" s="28" t="s">
        <v>209</v>
      </c>
      <c r="L87" s="68">
        <v>30</v>
      </c>
      <c r="M87" s="29" t="s">
        <v>209</v>
      </c>
      <c r="N87" s="67">
        <v>30</v>
      </c>
      <c r="O87" s="29" t="s">
        <v>209</v>
      </c>
      <c r="P87" s="67">
        <v>30</v>
      </c>
      <c r="Q87" s="29" t="s">
        <v>209</v>
      </c>
      <c r="R87" s="67">
        <v>30</v>
      </c>
      <c r="S87" s="28" t="s">
        <v>209</v>
      </c>
      <c r="T87" s="1"/>
      <c r="V87" t="s">
        <v>202</v>
      </c>
      <c r="W87">
        <f>IF(OR('EU MDM-832'!H82&gt;Data!$AC$24,'EU MDM-832'!N82&gt;Data!$AC$24,),1,0)</f>
        <v>0</v>
      </c>
    </row>
    <row r="88" spans="1:23" ht="11" customHeight="1" x14ac:dyDescent="0.2">
      <c r="A88" s="1"/>
      <c r="B88" s="2"/>
      <c r="C88" s="1"/>
      <c r="D88" s="555" t="s">
        <v>210</v>
      </c>
      <c r="E88" s="556"/>
      <c r="F88" s="556"/>
      <c r="G88" s="556"/>
      <c r="H88" s="556"/>
      <c r="I88" s="556"/>
      <c r="J88" s="556"/>
      <c r="K88" s="558"/>
      <c r="L88" s="555" t="s">
        <v>210</v>
      </c>
      <c r="M88" s="556"/>
      <c r="N88" s="556"/>
      <c r="O88" s="556"/>
      <c r="P88" s="556"/>
      <c r="Q88" s="556"/>
      <c r="R88" s="556"/>
      <c r="S88" s="558"/>
      <c r="T88" s="1"/>
      <c r="V88" t="s">
        <v>204</v>
      </c>
      <c r="W88">
        <f>IF(OR('EU MDM-832'!D98&gt;Data!$AC$27,'EU MDM-832'!F98&gt;Data!$AC$27,'EU MDM-832'!H98&gt;Data!$AC$27,'EU MDM-832'!J98&gt;Data!$AC$27,'EU MDM-832'!L98&gt;Data!$AC$27,'EU MDM-832'!N98&gt;Data!$AC$27,'EU MDM-832'!P98&gt;Data!$AC$27,'EU MDM-832'!R98&gt;Data!$AC$27),1,0)</f>
        <v>0</v>
      </c>
    </row>
    <row r="89" spans="1:23" ht="6" customHeight="1" x14ac:dyDescent="0.2">
      <c r="A89" s="1"/>
      <c r="B89" s="2"/>
      <c r="C89" s="1"/>
      <c r="D89" s="3"/>
      <c r="E89" s="4"/>
      <c r="F89" s="5"/>
      <c r="G89" s="4"/>
      <c r="H89" s="5"/>
      <c r="I89" s="4"/>
      <c r="J89" s="5"/>
      <c r="K89" s="6"/>
      <c r="L89" s="3"/>
      <c r="M89" s="4"/>
      <c r="N89" s="5"/>
      <c r="O89" s="4"/>
      <c r="P89" s="5"/>
      <c r="Q89" s="4"/>
      <c r="R89" s="5"/>
      <c r="S89" s="6"/>
      <c r="T89" s="1"/>
    </row>
    <row r="90" spans="1:23" x14ac:dyDescent="0.2">
      <c r="A90" s="1"/>
      <c r="B90" s="23" t="s">
        <v>211</v>
      </c>
      <c r="C90" s="1"/>
      <c r="D90" s="12">
        <f>(((VLOOKUP(D85,Data!$R$4:$U$62,2,FALSE)*E85)+(VLOOKUP(D86,Data!$R$4:$U$62,2,FALSE)*E86))/E78)*Data!$R$3</f>
        <v>1.1000000000000001</v>
      </c>
      <c r="E90" s="13" t="str">
        <f>IF(H80&gt;Data!$AC$23,"&lt;&lt;&lt;","A RMS")</f>
        <v>A RMS</v>
      </c>
      <c r="F90" s="14">
        <f>(((VLOOKUP(F85,Data!$R$4:$U$62,2,FALSE)*G85)+(VLOOKUP(F86,Data!$R$4:$U$62,2,FALSE)*G86))/E78)*Data!$R$3</f>
        <v>1.1000000000000001</v>
      </c>
      <c r="G90" s="13" t="str">
        <f>IF(H80&gt;Data!$AC$23,"&lt;&lt;&lt;","A RMS")</f>
        <v>A RMS</v>
      </c>
      <c r="H90" s="14">
        <f>(((VLOOKUP(H85,Data!$R$4:$U$62,2,FALSE)*I85)+(VLOOKUP(H86,Data!$R$4:$U$62,2,FALSE)*I86))/E78)*Data!$R$3</f>
        <v>1.1000000000000001</v>
      </c>
      <c r="I90" s="13" t="str">
        <f>IF(H80&gt;Data!$AC$23,"&lt;&lt;&lt;","A RMS")</f>
        <v>A RMS</v>
      </c>
      <c r="J90" s="14">
        <f>(((VLOOKUP(J85,Data!$R$4:$U$62,2,FALSE)*K85)+(VLOOKUP(J86,Data!$R$4:$U$62,2,FALSE)*K86))/E78)*Data!$R$3</f>
        <v>1.1000000000000001</v>
      </c>
      <c r="K90" s="15" t="str">
        <f>IF(H80&gt;Data!$AC$23,"&lt;&lt;&lt;","A RMS")</f>
        <v>A RMS</v>
      </c>
      <c r="L90" s="12">
        <f>(((VLOOKUP(L85,Data!$R$4:$U$62,2,FALSE)*M85)+(VLOOKUP(L86,Data!$R$4:$U$62,2,FALSE)*M86))/E78)*Data!$R$3</f>
        <v>1.1000000000000001</v>
      </c>
      <c r="M90" s="13" t="str">
        <f>IF(N80&gt;Data!$AC$23,"&lt;&lt;&lt;","A RMS")</f>
        <v>A RMS</v>
      </c>
      <c r="N90" s="14">
        <f>(((VLOOKUP(N85,Data!$R$4:$U$62,2,FALSE)*O85)+(VLOOKUP(N86,Data!$R$4:$U$62,2,FALSE)*O86))/E78)*Data!$R$3</f>
        <v>1.1000000000000001</v>
      </c>
      <c r="O90" s="13" t="str">
        <f>IF(N80&gt;Data!$AC$23,"&lt;&lt;&lt;","A RMS")</f>
        <v>A RMS</v>
      </c>
      <c r="P90" s="14">
        <f>(((VLOOKUP(P85,Data!$R$4:$U$62,2,FALSE)*Q85)+(VLOOKUP(P86,Data!$R$4:$U$62,2,FALSE)*Q86))/E78)*Data!$R$3</f>
        <v>1.1000000000000001</v>
      </c>
      <c r="Q90" s="13" t="str">
        <f>IF(N80&gt;Data!$AC$23,"&lt;&lt;&lt;","A RMS")</f>
        <v>A RMS</v>
      </c>
      <c r="R90" s="14">
        <f>(((VLOOKUP(R85,Data!$R$4:$U$62,2,FALSE)*S85)+(VLOOKUP(R86,Data!$R$4:$U$62,2,FALSE)*S86))/E78)*Data!$R$3</f>
        <v>1.1000000000000001</v>
      </c>
      <c r="S90" s="15" t="str">
        <f>IF(N80&gt;Data!$AC$23,"&lt;&lt;&lt;","A RMS")</f>
        <v>A RMS</v>
      </c>
      <c r="T90" s="1"/>
      <c r="V90" t="s">
        <v>208</v>
      </c>
      <c r="W90">
        <f>SUM(W85:W88)</f>
        <v>0</v>
      </c>
    </row>
    <row r="91" spans="1:23" x14ac:dyDescent="0.2">
      <c r="A91" s="1"/>
      <c r="B91" s="23" t="s">
        <v>199</v>
      </c>
      <c r="C91" s="1"/>
      <c r="D91" s="12">
        <f>(((VLOOKUP(D85,Data!$R$4:$U$62,3,FALSE)*E85)+(VLOOKUP(D86,Data!$R$4:$U$62,3,FALSE)*E86))/E78)*Data!$R$3</f>
        <v>2.4</v>
      </c>
      <c r="E91" s="13" t="s">
        <v>116</v>
      </c>
      <c r="F91" s="14">
        <f>(((VLOOKUP(F85,Data!$R$4:$U$62,3,FALSE)*G85)+(VLOOKUP(F86,Data!$R$4:$U$62,3,FALSE)*G86))/E78)*Data!$R$3</f>
        <v>2.4</v>
      </c>
      <c r="G91" s="13" t="s">
        <v>116</v>
      </c>
      <c r="H91" s="14">
        <f>(((VLOOKUP(H85,Data!$R$4:$U$62,3,FALSE)*I85)+(VLOOKUP(H86,Data!$R$4:$U$62,3,FALSE)*I86))/E78)*Data!$R$3</f>
        <v>2.4</v>
      </c>
      <c r="I91" s="13" t="s">
        <v>116</v>
      </c>
      <c r="J91" s="14">
        <f>(((VLOOKUP(J85,Data!$R$4:$U$62,3,FALSE)*K85)+(VLOOKUP(J86,Data!$R$4:$U$62,3,FALSE)*K86))/E78)*Data!$R$3</f>
        <v>2.4</v>
      </c>
      <c r="K91" s="15" t="s">
        <v>116</v>
      </c>
      <c r="L91" s="12">
        <f>(((VLOOKUP(L85,Data!$R$4:$U$62,3,FALSE)*M85)+(VLOOKUP(L86,Data!$R$4:$U$62,3,FALSE)*M86))/E78)*Data!$R$3</f>
        <v>2.4</v>
      </c>
      <c r="M91" s="13" t="s">
        <v>116</v>
      </c>
      <c r="N91" s="14">
        <f>(((VLOOKUP(N85,Data!$R$4:$U$62,3,FALSE)*O85)+(VLOOKUP(N86,Data!$R$4:$U$62,3,FALSE)*O86))/E78)*Data!$R$3</f>
        <v>2.4</v>
      </c>
      <c r="O91" s="13" t="s">
        <v>116</v>
      </c>
      <c r="P91" s="14">
        <f>(((VLOOKUP(P85,Data!$R$4:$U$62,3,FALSE)*Q85)+(VLOOKUP(P86,Data!$R$4:$U$62,3,FALSE)*Q86))/E78)*Data!$R$3</f>
        <v>2.4</v>
      </c>
      <c r="Q91" s="13" t="s">
        <v>116</v>
      </c>
      <c r="R91" s="14">
        <f>(((VLOOKUP(R85,Data!$R$4:$U$62,3,FALSE)*S85)+(VLOOKUP(R86,Data!$R$4:$U$62,3,FALSE)*S86))/E78)*Data!$R$3</f>
        <v>2.4</v>
      </c>
      <c r="S91" s="15" t="s">
        <v>116</v>
      </c>
      <c r="T91" s="1"/>
    </row>
    <row r="92" spans="1:23" x14ac:dyDescent="0.2">
      <c r="A92" s="1"/>
      <c r="B92" s="23" t="s">
        <v>200</v>
      </c>
      <c r="C92" s="1"/>
      <c r="D92" s="12">
        <f>(((VLOOKUP(D85,Data!$R$4:$U$62,4,FALSE)*E85)+(VLOOKUP(D86,Data!$R$4:$U$62,4,FALSE)*E86))/E78)*Data!$R$3</f>
        <v>2.4</v>
      </c>
      <c r="E92" s="13" t="s">
        <v>117</v>
      </c>
      <c r="F92" s="14">
        <f>(((VLOOKUP(F85,Data!$R$4:$U$62,4,FALSE)*G85)+(VLOOKUP(F86,Data!$R$4:$U$62,4,FALSE)*G86))/E78)*Data!$R$3</f>
        <v>2.4</v>
      </c>
      <c r="G92" s="13" t="s">
        <v>117</v>
      </c>
      <c r="H92" s="14">
        <f>(((VLOOKUP(H85,Data!$R$4:$U$62,4,FALSE)*I85)+(VLOOKUP(H86,Data!$R$4:$U$62,4,FALSE)*I86))/E78)*Data!$R$3</f>
        <v>2.4</v>
      </c>
      <c r="I92" s="13" t="s">
        <v>117</v>
      </c>
      <c r="J92" s="14">
        <f>(((VLOOKUP(J85,Data!$R$4:$U$62,4,FALSE)*K85)+(VLOOKUP(J86,Data!$R$4:$U$62,4,FALSE)*K86))/E78)*Data!$R$3</f>
        <v>2.4</v>
      </c>
      <c r="K92" s="15" t="s">
        <v>117</v>
      </c>
      <c r="L92" s="12">
        <f>(((VLOOKUP(L85,Data!$R$4:$U$62,4,FALSE)*M85)+(VLOOKUP(L86,Data!$R$4:$U$62,4,FALSE)*M86))/E78)*Data!$R$3</f>
        <v>2.4</v>
      </c>
      <c r="M92" s="13" t="s">
        <v>117</v>
      </c>
      <c r="N92" s="14">
        <f>(((VLOOKUP(N85,Data!$R$4:$U$62,4,FALSE)*O85)+(VLOOKUP(N86,Data!$R$4:$U$62,4,FALSE)*O86))/E78)*Data!$R$3</f>
        <v>2.4</v>
      </c>
      <c r="O92" s="13" t="s">
        <v>117</v>
      </c>
      <c r="P92" s="14">
        <f>(((VLOOKUP(P85,Data!$R$4:$U$62,4,FALSE)*Q85)+(VLOOKUP(P86,Data!$R$4:$U$62,4,FALSE)*Q86))/E78)*Data!$R$3</f>
        <v>2.4</v>
      </c>
      <c r="Q92" s="13" t="s">
        <v>117</v>
      </c>
      <c r="R92" s="14">
        <f>(((VLOOKUP(R85,Data!$R$4:$U$62,4,FALSE)*S85)+(VLOOKUP(R86,Data!$R$4:$U$62,4,FALSE)*S86))/E78)*Data!$R$3</f>
        <v>2.4</v>
      </c>
      <c r="S92" s="15" t="s">
        <v>117</v>
      </c>
      <c r="T92" s="1"/>
    </row>
    <row r="93" spans="1:23" ht="6" customHeight="1" x14ac:dyDescent="0.2">
      <c r="A93" s="1"/>
      <c r="B93" s="2"/>
      <c r="C93" s="1"/>
      <c r="D93" s="43"/>
      <c r="E93" s="44"/>
      <c r="F93" s="45"/>
      <c r="G93" s="44"/>
      <c r="H93" s="45"/>
      <c r="I93" s="44"/>
      <c r="J93" s="45"/>
      <c r="K93" s="46"/>
      <c r="L93" s="43"/>
      <c r="M93" s="44"/>
      <c r="N93" s="45"/>
      <c r="O93" s="47"/>
      <c r="P93" s="45"/>
      <c r="Q93" s="44"/>
      <c r="R93" s="45"/>
      <c r="S93" s="46"/>
      <c r="T93" s="1"/>
    </row>
    <row r="94" spans="1:23" x14ac:dyDescent="0.2">
      <c r="A94" s="1"/>
      <c r="B94" s="23" t="s">
        <v>212</v>
      </c>
      <c r="C94" s="1"/>
      <c r="D94" s="17">
        <f>(17*(10^-8))*((2*D87)/(R78*(10^-5)))</f>
        <v>0.40800000000000003</v>
      </c>
      <c r="E94" s="16" t="s">
        <v>213</v>
      </c>
      <c r="F94" s="18">
        <f>(17*(10^-8))*((2*F87)/(R78*(10^-5)))</f>
        <v>0.40800000000000003</v>
      </c>
      <c r="G94" s="16" t="s">
        <v>213</v>
      </c>
      <c r="H94" s="18">
        <f>(17*(10^-8))*((2*H87)/(R78*(10^-5)))</f>
        <v>0.40800000000000003</v>
      </c>
      <c r="I94" s="16" t="s">
        <v>213</v>
      </c>
      <c r="J94" s="18">
        <f>(17*(10^-8))*((2*J87)/(R78*(10^-5)))</f>
        <v>0.40800000000000003</v>
      </c>
      <c r="K94" s="15" t="s">
        <v>213</v>
      </c>
      <c r="L94" s="17">
        <f>(17*(10^-8))*((2*L87)/(R78*(10^-5)))</f>
        <v>0.40800000000000003</v>
      </c>
      <c r="M94" s="16" t="s">
        <v>213</v>
      </c>
      <c r="N94" s="18">
        <f>(17*(10^-8))*((2*N87)/(R78*(10^-5)))</f>
        <v>0.40800000000000003</v>
      </c>
      <c r="O94" s="13" t="s">
        <v>213</v>
      </c>
      <c r="P94" s="18">
        <f>(17*(10^-8))*((2*P87)/(R78*(10^-5)))</f>
        <v>0.40800000000000003</v>
      </c>
      <c r="Q94" s="16" t="s">
        <v>213</v>
      </c>
      <c r="R94" s="18">
        <f>(17*(10^-8))*((2*R87)/(R78*(10^-5)))</f>
        <v>0.40800000000000003</v>
      </c>
      <c r="S94" s="15" t="s">
        <v>213</v>
      </c>
      <c r="T94" s="1"/>
    </row>
    <row r="95" spans="1:23" x14ac:dyDescent="0.2">
      <c r="A95" s="1"/>
      <c r="B95" s="23" t="s">
        <v>214</v>
      </c>
      <c r="C95" s="1"/>
      <c r="D95" s="19">
        <f>E78*SQRT(2)</f>
        <v>325.26911934581187</v>
      </c>
      <c r="E95" s="16" t="s">
        <v>215</v>
      </c>
      <c r="F95" s="20">
        <f>E78*SQRT(2)</f>
        <v>325.26911934581187</v>
      </c>
      <c r="G95" s="16" t="s">
        <v>215</v>
      </c>
      <c r="H95" s="20">
        <f>E78*SQRT(2)</f>
        <v>325.26911934581187</v>
      </c>
      <c r="I95" s="16" t="s">
        <v>215</v>
      </c>
      <c r="J95" s="20">
        <f>E78*SQRT(2)</f>
        <v>325.26911934581187</v>
      </c>
      <c r="K95" s="15" t="s">
        <v>215</v>
      </c>
      <c r="L95" s="19">
        <f>E78*SQRT(2)</f>
        <v>325.26911934581187</v>
      </c>
      <c r="M95" s="16" t="s">
        <v>215</v>
      </c>
      <c r="N95" s="20">
        <f>E78*SQRT(2)</f>
        <v>325.26911934581187</v>
      </c>
      <c r="O95" s="16" t="s">
        <v>215</v>
      </c>
      <c r="P95" s="20">
        <f>E78*SQRT(2)</f>
        <v>325.26911934581187</v>
      </c>
      <c r="Q95" s="16" t="s">
        <v>215</v>
      </c>
      <c r="R95" s="20">
        <f>E78*SQRT(2)</f>
        <v>325.26911934581187</v>
      </c>
      <c r="S95" s="15" t="s">
        <v>215</v>
      </c>
      <c r="T95" s="1"/>
    </row>
    <row r="96" spans="1:23" x14ac:dyDescent="0.2">
      <c r="A96" s="1"/>
      <c r="B96" s="23" t="s">
        <v>223</v>
      </c>
      <c r="C96" s="1"/>
      <c r="D96" s="12">
        <f>D92*D94</f>
        <v>0.97920000000000007</v>
      </c>
      <c r="E96" s="16" t="s">
        <v>215</v>
      </c>
      <c r="F96" s="14">
        <f>F92*F94</f>
        <v>0.97920000000000007</v>
      </c>
      <c r="G96" s="16" t="s">
        <v>215</v>
      </c>
      <c r="H96" s="14">
        <f>H92*H94</f>
        <v>0.97920000000000007</v>
      </c>
      <c r="I96" s="16" t="s">
        <v>215</v>
      </c>
      <c r="J96" s="14">
        <f>J92*J94</f>
        <v>0.97920000000000007</v>
      </c>
      <c r="K96" s="15" t="s">
        <v>215</v>
      </c>
      <c r="L96" s="12">
        <f>L92*L94</f>
        <v>0.97920000000000007</v>
      </c>
      <c r="M96" s="16" t="s">
        <v>215</v>
      </c>
      <c r="N96" s="14">
        <f>N92*N94</f>
        <v>0.97920000000000007</v>
      </c>
      <c r="O96" s="16" t="s">
        <v>215</v>
      </c>
      <c r="P96" s="14">
        <f>P92*P94</f>
        <v>0.97920000000000007</v>
      </c>
      <c r="Q96" s="16" t="s">
        <v>215</v>
      </c>
      <c r="R96" s="14">
        <f>R92*R94</f>
        <v>0.97920000000000007</v>
      </c>
      <c r="S96" s="15" t="s">
        <v>215</v>
      </c>
      <c r="T96" s="1"/>
    </row>
    <row r="97" spans="1:36" x14ac:dyDescent="0.2">
      <c r="A97" s="1"/>
      <c r="B97" s="23" t="s">
        <v>225</v>
      </c>
      <c r="C97" s="1"/>
      <c r="D97" s="19">
        <f>D95-D96</f>
        <v>324.28991934581188</v>
      </c>
      <c r="E97" s="16" t="s">
        <v>215</v>
      </c>
      <c r="F97" s="20">
        <f>F95-F96</f>
        <v>324.28991934581188</v>
      </c>
      <c r="G97" s="16" t="s">
        <v>215</v>
      </c>
      <c r="H97" s="20">
        <f>H95-H96</f>
        <v>324.28991934581188</v>
      </c>
      <c r="I97" s="16" t="s">
        <v>215</v>
      </c>
      <c r="J97" s="20">
        <f>J95-J96</f>
        <v>324.28991934581188</v>
      </c>
      <c r="K97" s="15" t="s">
        <v>215</v>
      </c>
      <c r="L97" s="19">
        <f>L95-L96</f>
        <v>324.28991934581188</v>
      </c>
      <c r="M97" s="16" t="s">
        <v>215</v>
      </c>
      <c r="N97" s="20">
        <f>N95-N96</f>
        <v>324.28991934581188</v>
      </c>
      <c r="O97" s="16" t="s">
        <v>215</v>
      </c>
      <c r="P97" s="20">
        <f>P95-P96</f>
        <v>324.28991934581188</v>
      </c>
      <c r="Q97" s="16" t="s">
        <v>215</v>
      </c>
      <c r="R97" s="20">
        <f>R95-R96</f>
        <v>324.28991934581188</v>
      </c>
      <c r="S97" s="15" t="s">
        <v>215</v>
      </c>
      <c r="T97" s="1"/>
    </row>
    <row r="98" spans="1:36" ht="17" thickBot="1" x14ac:dyDescent="0.25">
      <c r="A98" s="1"/>
      <c r="B98" s="24" t="s">
        <v>227</v>
      </c>
      <c r="C98" s="1"/>
      <c r="D98" s="141">
        <f>(D96*100)/D95</f>
        <v>0.30104302614689882</v>
      </c>
      <c r="E98" s="21" t="str">
        <f>IF(D98&gt;Data!$AC$27,"&lt;OVER!","% V Pk")</f>
        <v>% V Pk</v>
      </c>
      <c r="F98" s="142">
        <f>(F96*100)/F95</f>
        <v>0.30104302614689882</v>
      </c>
      <c r="G98" s="21" t="str">
        <f>IF(F98&gt;Data!$AC$27,"&lt;OVER!","% V Pk")</f>
        <v>% V Pk</v>
      </c>
      <c r="H98" s="142">
        <f>(H96*100)/H95</f>
        <v>0.30104302614689882</v>
      </c>
      <c r="I98" s="21" t="str">
        <f>IF(H98&gt;Data!$AC$27,"&lt;OVER!","% V Pk")</f>
        <v>% V Pk</v>
      </c>
      <c r="J98" s="142">
        <f>(J96*100)/J95</f>
        <v>0.30104302614689882</v>
      </c>
      <c r="K98" s="21" t="str">
        <f>IF(J98&gt;Data!$AC$27,"&lt;OVER!","% V Pk")</f>
        <v>% V Pk</v>
      </c>
      <c r="L98" s="141">
        <f>(L96*100)/L95</f>
        <v>0.30104302614689882</v>
      </c>
      <c r="M98" s="21" t="str">
        <f>IF(L98&gt;Data!$AC$27,"&lt;OVER!","% V Pk")</f>
        <v>% V Pk</v>
      </c>
      <c r="N98" s="142">
        <f>(N96*100)/N95</f>
        <v>0.30104302614689882</v>
      </c>
      <c r="O98" s="21" t="str">
        <f>IF(N98&gt;Data!$AC$27,"&lt;OVER!","% V Pk")</f>
        <v>% V Pk</v>
      </c>
      <c r="P98" s="142">
        <f>(P96*100)/P95</f>
        <v>0.30104302614689882</v>
      </c>
      <c r="Q98" s="21" t="str">
        <f>IF(P98&gt;Data!$AC$27,"&lt;OVER!","% V Pk")</f>
        <v>% V Pk</v>
      </c>
      <c r="R98" s="142">
        <f>(R96*100)/R95</f>
        <v>0.30104302614689882</v>
      </c>
      <c r="S98" s="22" t="str">
        <f>IF(R98&gt;Data!$AC$27,"&lt;OVER!","% V Pk")</f>
        <v>% V Pk</v>
      </c>
      <c r="T98" s="1"/>
      <c r="U98" s="571" t="s">
        <v>247</v>
      </c>
      <c r="W98" s="89"/>
      <c r="X98" s="90" t="s">
        <v>162</v>
      </c>
      <c r="Y98" s="90" t="s">
        <v>248</v>
      </c>
      <c r="Z98" s="90" t="s">
        <v>249</v>
      </c>
      <c r="AA98" s="90"/>
      <c r="AB98" s="89"/>
      <c r="AC98" s="90" t="s">
        <v>217</v>
      </c>
      <c r="AD98" s="90" t="s">
        <v>218</v>
      </c>
      <c r="AE98" s="90" t="s">
        <v>219</v>
      </c>
      <c r="AF98" s="90" t="s">
        <v>220</v>
      </c>
      <c r="AG98" s="90" t="s">
        <v>221</v>
      </c>
      <c r="AH98" s="90" t="s">
        <v>222</v>
      </c>
      <c r="AI98" s="90" t="s">
        <v>250</v>
      </c>
      <c r="AJ98" s="90" t="s">
        <v>251</v>
      </c>
    </row>
    <row r="99" spans="1:36" x14ac:dyDescent="0.2">
      <c r="A99" s="1"/>
      <c r="B99" s="1"/>
      <c r="C99" s="1"/>
      <c r="D99" s="1"/>
      <c r="E99" s="1"/>
      <c r="F99" s="1"/>
      <c r="G99" s="1"/>
      <c r="H99" s="1"/>
      <c r="I99" s="1"/>
      <c r="J99" s="1"/>
      <c r="K99" s="1"/>
      <c r="L99" s="1"/>
      <c r="M99" s="1"/>
      <c r="N99" s="1"/>
      <c r="O99" s="1"/>
      <c r="P99" s="1"/>
      <c r="Q99" s="1"/>
      <c r="R99" s="1"/>
      <c r="S99" s="1"/>
      <c r="T99" s="1"/>
      <c r="U99" s="571"/>
      <c r="W99" s="89" t="s">
        <v>224</v>
      </c>
      <c r="X99" s="90">
        <f>Data!$AC$6</f>
        <v>32</v>
      </c>
      <c r="Y99" s="90">
        <f>Data!$AC$23</f>
        <v>15</v>
      </c>
      <c r="Z99" s="90">
        <f>Data!$AC$23</f>
        <v>15</v>
      </c>
      <c r="AA99" s="90"/>
      <c r="AB99" s="89" t="s">
        <v>109</v>
      </c>
      <c r="AC99" s="91">
        <f>'EU MDM-832'!D90</f>
        <v>1.1000000000000001</v>
      </c>
      <c r="AD99" s="90">
        <f>'EU MDM-832'!F90</f>
        <v>1.1000000000000001</v>
      </c>
      <c r="AE99" s="90">
        <f>'EU MDM-832'!H90</f>
        <v>1.1000000000000001</v>
      </c>
      <c r="AF99" s="90">
        <f>'EU MDM-832'!J90</f>
        <v>1.1000000000000001</v>
      </c>
      <c r="AG99" s="90">
        <f>'EU MDM-832'!L90</f>
        <v>1.1000000000000001</v>
      </c>
      <c r="AH99" s="90">
        <f>'EU MDM-832'!N90</f>
        <v>1.1000000000000001</v>
      </c>
      <c r="AI99" s="90">
        <f>'EU MDM-832'!P90</f>
        <v>1.1000000000000001</v>
      </c>
      <c r="AJ99" s="90">
        <f>'EU MDM-832'!R90</f>
        <v>1.1000000000000001</v>
      </c>
    </row>
    <row r="100" spans="1:36" x14ac:dyDescent="0.2">
      <c r="A100" s="1"/>
      <c r="B100" s="1"/>
      <c r="C100" s="1"/>
      <c r="D100" s="1"/>
      <c r="E100" s="1"/>
      <c r="F100" s="1"/>
      <c r="G100" s="1"/>
      <c r="H100" s="1"/>
      <c r="I100" s="1"/>
      <c r="J100" s="1"/>
      <c r="K100" s="1"/>
      <c r="L100" s="1"/>
      <c r="M100" s="1"/>
      <c r="N100" s="1"/>
      <c r="O100" s="1"/>
      <c r="P100" s="1"/>
      <c r="Q100" s="1"/>
      <c r="R100" s="1"/>
      <c r="S100" s="1"/>
      <c r="T100" s="1"/>
      <c r="U100" s="571"/>
      <c r="W100" s="89"/>
      <c r="X100" s="90"/>
      <c r="Y100" s="90"/>
      <c r="Z100" s="90"/>
      <c r="AA100" s="90"/>
      <c r="AB100" s="89"/>
      <c r="AC100" s="90"/>
      <c r="AD100" s="90"/>
      <c r="AE100" s="90"/>
      <c r="AF100" s="90"/>
      <c r="AG100" s="90"/>
      <c r="AH100" s="90"/>
      <c r="AI100" s="90"/>
      <c r="AJ100" s="90"/>
    </row>
    <row r="101" spans="1:36" x14ac:dyDescent="0.2">
      <c r="A101" s="1"/>
      <c r="B101" s="1"/>
      <c r="C101" s="1"/>
      <c r="D101" s="1"/>
      <c r="E101" s="1"/>
      <c r="F101" s="1"/>
      <c r="G101" s="1"/>
      <c r="H101" s="1"/>
      <c r="I101" s="1"/>
      <c r="J101" s="1"/>
      <c r="K101" s="1"/>
      <c r="L101" s="1"/>
      <c r="M101" s="1"/>
      <c r="N101" s="1"/>
      <c r="O101" s="1"/>
      <c r="P101" s="1"/>
      <c r="Q101" s="1"/>
      <c r="R101" s="1"/>
      <c r="S101" s="1"/>
      <c r="T101" s="1"/>
      <c r="U101" s="571"/>
      <c r="W101" s="89" t="str">
        <f>'EU MDM-832'!B80</f>
        <v>MLTC + 30%</v>
      </c>
      <c r="X101" s="91">
        <f>'EU MDM-832'!D80</f>
        <v>11.44</v>
      </c>
      <c r="Y101" s="91">
        <f>'EU MDM-832'!H80</f>
        <v>4.4000000000000004</v>
      </c>
      <c r="Z101" s="92">
        <f>'EU MDM-832'!$N80</f>
        <v>4.4000000000000004</v>
      </c>
      <c r="AA101" s="90"/>
      <c r="AB101" s="89"/>
      <c r="AC101" s="90"/>
      <c r="AD101" s="90"/>
      <c r="AE101" s="90"/>
      <c r="AF101" s="90"/>
      <c r="AG101" s="90"/>
      <c r="AH101" s="90"/>
      <c r="AI101" s="90"/>
      <c r="AJ101" s="90"/>
    </row>
    <row r="102" spans="1:36" x14ac:dyDescent="0.2">
      <c r="A102" s="1"/>
      <c r="B102" s="1"/>
      <c r="C102" s="1"/>
      <c r="D102" s="1"/>
      <c r="E102" s="1"/>
      <c r="F102" s="1"/>
      <c r="G102" s="1"/>
      <c r="H102" s="1"/>
      <c r="I102" s="1"/>
      <c r="J102" s="1"/>
      <c r="K102" s="1"/>
      <c r="L102" s="1"/>
      <c r="M102" s="1"/>
      <c r="N102" s="1"/>
      <c r="O102" s="1"/>
      <c r="P102" s="1"/>
      <c r="Q102" s="1"/>
      <c r="R102" s="1"/>
      <c r="S102" s="1"/>
      <c r="T102" s="1"/>
      <c r="U102" s="571"/>
      <c r="W102" s="89" t="str">
        <f>'EU MDM-832'!B81</f>
        <v>Burst RMS</v>
      </c>
      <c r="X102" s="91">
        <f>'EU MDM-832'!D81</f>
        <v>19.2</v>
      </c>
      <c r="Y102" s="91">
        <f>'EU MDM-832'!H81</f>
        <v>9.6</v>
      </c>
      <c r="Z102" s="92">
        <f>'EU MDM-832'!$N81</f>
        <v>9.6</v>
      </c>
      <c r="AA102" s="90"/>
      <c r="AB102" s="89" t="s">
        <v>228</v>
      </c>
      <c r="AC102" s="90">
        <f>(100*AC99)/$Y99</f>
        <v>7.3333333333333339</v>
      </c>
      <c r="AD102" s="90">
        <f>(100*AD99)/$Y99</f>
        <v>7.3333333333333339</v>
      </c>
      <c r="AE102" s="90">
        <f>(100*AE99)/$Y99</f>
        <v>7.3333333333333339</v>
      </c>
      <c r="AF102" s="90">
        <f>(100*AF99)/$Y99</f>
        <v>7.3333333333333339</v>
      </c>
      <c r="AG102" s="90">
        <f>(100*AG99)/$Z99</f>
        <v>7.3333333333333339</v>
      </c>
      <c r="AH102" s="90">
        <f>(100*AH99)/$Z99</f>
        <v>7.3333333333333339</v>
      </c>
      <c r="AI102" s="90">
        <f>(100*AI99)/$Z99</f>
        <v>7.3333333333333339</v>
      </c>
      <c r="AJ102" s="90">
        <f>(100*AJ99)/$Z99</f>
        <v>7.3333333333333339</v>
      </c>
    </row>
    <row r="103" spans="1:36" x14ac:dyDescent="0.2">
      <c r="A103" s="1"/>
      <c r="B103" s="1"/>
      <c r="C103" s="1"/>
      <c r="D103" s="1"/>
      <c r="E103" s="1"/>
      <c r="F103" s="1"/>
      <c r="G103" s="1"/>
      <c r="H103" s="1"/>
      <c r="I103" s="1"/>
      <c r="J103" s="1"/>
      <c r="K103" s="1"/>
      <c r="L103" s="1"/>
      <c r="M103" s="1"/>
      <c r="N103" s="1"/>
      <c r="O103" s="1"/>
      <c r="P103" s="1"/>
      <c r="Q103" s="1"/>
      <c r="R103" s="1"/>
      <c r="S103" s="1"/>
      <c r="T103" s="1"/>
      <c r="U103" s="571"/>
      <c r="W103" s="89" t="str">
        <f>'EU MDM-832'!B82</f>
        <v>Max Inst Pk</v>
      </c>
      <c r="X103" s="91">
        <f>'EU MDM-832'!D82</f>
        <v>19.2</v>
      </c>
      <c r="Y103" s="91">
        <f>'EU MDM-832'!H82</f>
        <v>9.6</v>
      </c>
      <c r="Z103" s="92">
        <f>'EU MDM-832'!$N82</f>
        <v>9.6</v>
      </c>
      <c r="AA103" s="90"/>
      <c r="AB103" s="89" t="s">
        <v>229</v>
      </c>
      <c r="AC103" s="90">
        <f t="shared" ref="AC103:AJ103" si="10">AC102-100</f>
        <v>-92.666666666666671</v>
      </c>
      <c r="AD103" s="90">
        <f t="shared" si="10"/>
        <v>-92.666666666666671</v>
      </c>
      <c r="AE103" s="90">
        <f t="shared" si="10"/>
        <v>-92.666666666666671</v>
      </c>
      <c r="AF103" s="90">
        <f t="shared" si="10"/>
        <v>-92.666666666666671</v>
      </c>
      <c r="AG103" s="90">
        <f t="shared" si="10"/>
        <v>-92.666666666666671</v>
      </c>
      <c r="AH103" s="90">
        <f t="shared" si="10"/>
        <v>-92.666666666666671</v>
      </c>
      <c r="AI103" s="90">
        <f t="shared" si="10"/>
        <v>-92.666666666666671</v>
      </c>
      <c r="AJ103" s="90">
        <f t="shared" si="10"/>
        <v>-92.666666666666671</v>
      </c>
    </row>
    <row r="104" spans="1:36" x14ac:dyDescent="0.2">
      <c r="A104" s="1"/>
      <c r="B104" s="1"/>
      <c r="C104" s="1"/>
      <c r="D104" s="1"/>
      <c r="E104" s="1"/>
      <c r="F104" s="1"/>
      <c r="G104" s="1"/>
      <c r="H104" s="1"/>
      <c r="I104" s="1"/>
      <c r="J104" s="1"/>
      <c r="K104" s="1"/>
      <c r="L104" s="1"/>
      <c r="M104" s="1"/>
      <c r="N104" s="1"/>
      <c r="O104" s="1"/>
      <c r="P104" s="1"/>
      <c r="Q104" s="1"/>
      <c r="R104" s="1"/>
      <c r="S104" s="1"/>
      <c r="T104" s="1"/>
      <c r="U104" s="571"/>
      <c r="W104" s="89" t="s">
        <v>109</v>
      </c>
      <c r="X104" s="91">
        <f>(D90+F90+H90+J90+L90+N90+P90+R90)</f>
        <v>8.7999999999999989</v>
      </c>
      <c r="Y104" s="90"/>
      <c r="Z104" s="90"/>
      <c r="AA104" s="90"/>
      <c r="AB104" s="89" t="s">
        <v>230</v>
      </c>
      <c r="AC104" s="90">
        <f t="shared" ref="AC104:AJ104" si="11">IF(AC103&lt;0,AC102,100)</f>
        <v>7.3333333333333339</v>
      </c>
      <c r="AD104" s="90">
        <f t="shared" si="11"/>
        <v>7.3333333333333339</v>
      </c>
      <c r="AE104" s="90">
        <f t="shared" si="11"/>
        <v>7.3333333333333339</v>
      </c>
      <c r="AF104" s="90">
        <f t="shared" si="11"/>
        <v>7.3333333333333339</v>
      </c>
      <c r="AG104" s="90">
        <f t="shared" si="11"/>
        <v>7.3333333333333339</v>
      </c>
      <c r="AH104" s="90">
        <f t="shared" si="11"/>
        <v>7.3333333333333339</v>
      </c>
      <c r="AI104" s="90">
        <f t="shared" si="11"/>
        <v>7.3333333333333339</v>
      </c>
      <c r="AJ104" s="90">
        <f t="shared" si="11"/>
        <v>7.3333333333333339</v>
      </c>
    </row>
    <row r="105" spans="1:36" x14ac:dyDescent="0.2">
      <c r="A105" s="1"/>
      <c r="B105" s="1"/>
      <c r="C105" s="1"/>
      <c r="D105" s="1"/>
      <c r="E105" s="1"/>
      <c r="F105" s="1"/>
      <c r="G105" s="1"/>
      <c r="H105" s="1"/>
      <c r="I105" s="1"/>
      <c r="J105" s="1"/>
      <c r="K105" s="1"/>
      <c r="L105" s="1"/>
      <c r="M105" s="1"/>
      <c r="N105" s="1"/>
      <c r="O105" s="1"/>
      <c r="P105" s="1"/>
      <c r="Q105" s="1"/>
      <c r="R105" s="1"/>
      <c r="S105" s="1"/>
      <c r="T105" s="1"/>
      <c r="U105" s="571"/>
      <c r="W105" s="89"/>
      <c r="X105" s="90"/>
      <c r="Y105" s="90"/>
      <c r="Z105" s="90"/>
      <c r="AA105" s="90"/>
      <c r="AB105" s="89" t="s">
        <v>231</v>
      </c>
      <c r="AC105" s="90" t="e">
        <f t="shared" ref="AC105:AJ105" si="12">IF(AC102&gt;100,AC102-AC104,NA())</f>
        <v>#N/A</v>
      </c>
      <c r="AD105" s="90" t="e">
        <f t="shared" si="12"/>
        <v>#N/A</v>
      </c>
      <c r="AE105" s="90" t="e">
        <f t="shared" si="12"/>
        <v>#N/A</v>
      </c>
      <c r="AF105" s="90" t="e">
        <f t="shared" si="12"/>
        <v>#N/A</v>
      </c>
      <c r="AG105" s="90" t="e">
        <f t="shared" si="12"/>
        <v>#N/A</v>
      </c>
      <c r="AH105" s="90" t="e">
        <f t="shared" si="12"/>
        <v>#N/A</v>
      </c>
      <c r="AI105" s="90" t="e">
        <f t="shared" si="12"/>
        <v>#N/A</v>
      </c>
      <c r="AJ105" s="90" t="e">
        <f t="shared" si="12"/>
        <v>#N/A</v>
      </c>
    </row>
    <row r="106" spans="1:36" x14ac:dyDescent="0.2">
      <c r="A106" s="1"/>
      <c r="B106" s="1"/>
      <c r="C106" s="1"/>
      <c r="D106" s="1"/>
      <c r="E106" s="1"/>
      <c r="F106" s="1"/>
      <c r="G106" s="1"/>
      <c r="H106" s="1"/>
      <c r="I106" s="1"/>
      <c r="J106" s="1"/>
      <c r="K106" s="1"/>
      <c r="L106" s="1"/>
      <c r="M106" s="1"/>
      <c r="N106" s="1"/>
      <c r="O106" s="1"/>
      <c r="P106" s="1"/>
      <c r="Q106" s="1"/>
      <c r="R106" s="1"/>
      <c r="S106" s="1"/>
      <c r="T106" s="1"/>
      <c r="U106" s="571"/>
      <c r="W106" s="89" t="s">
        <v>228</v>
      </c>
      <c r="X106" s="90">
        <f>(100*X101)/X99</f>
        <v>35.75</v>
      </c>
      <c r="Y106" s="90">
        <f>(100*Y101)/Y99</f>
        <v>29.333333333333336</v>
      </c>
      <c r="Z106" s="90">
        <f>(100*Z101)/Z99</f>
        <v>29.333333333333336</v>
      </c>
      <c r="AA106" s="90"/>
      <c r="AB106" s="89" t="s">
        <v>232</v>
      </c>
      <c r="AC106" s="90">
        <f>Data!$AC$13</f>
        <v>10</v>
      </c>
      <c r="AD106" s="90">
        <f>Data!$AC$13</f>
        <v>10</v>
      </c>
      <c r="AE106" s="90">
        <f>Data!$AC$13</f>
        <v>10</v>
      </c>
      <c r="AF106" s="90">
        <f>Data!$AC$13</f>
        <v>10</v>
      </c>
      <c r="AG106" s="90">
        <f>Data!$AC$13</f>
        <v>10</v>
      </c>
      <c r="AH106" s="90">
        <f>Data!$AC$13</f>
        <v>10</v>
      </c>
      <c r="AI106" s="90">
        <f>Data!$AC$13</f>
        <v>10</v>
      </c>
      <c r="AJ106" s="90">
        <f>Data!$AC$13</f>
        <v>10</v>
      </c>
    </row>
    <row r="107" spans="1:36" x14ac:dyDescent="0.2">
      <c r="A107" s="1"/>
      <c r="B107" s="1"/>
      <c r="C107" s="1"/>
      <c r="D107" s="1"/>
      <c r="E107" s="1"/>
      <c r="F107" s="1"/>
      <c r="G107" s="1"/>
      <c r="H107" s="1"/>
      <c r="I107" s="1"/>
      <c r="J107" s="1"/>
      <c r="K107" s="1"/>
      <c r="L107" s="1"/>
      <c r="M107" s="1"/>
      <c r="N107" s="1"/>
      <c r="O107" s="1"/>
      <c r="P107" s="1"/>
      <c r="Q107" s="1"/>
      <c r="R107" s="1"/>
      <c r="S107" s="1"/>
      <c r="T107" s="1"/>
      <c r="U107" s="571"/>
      <c r="W107" s="89" t="s">
        <v>229</v>
      </c>
      <c r="X107" s="90">
        <f>X106-100</f>
        <v>-64.25</v>
      </c>
      <c r="Y107" s="90">
        <f>Y106-100</f>
        <v>-70.666666666666657</v>
      </c>
      <c r="Z107" s="90">
        <f>Z106-100</f>
        <v>-70.666666666666657</v>
      </c>
      <c r="AA107" s="90"/>
      <c r="AB107" s="89" t="s">
        <v>233</v>
      </c>
      <c r="AC107" s="92">
        <f>-'EU MDM-832'!$D98</f>
        <v>-0.30104302614689882</v>
      </c>
      <c r="AD107" s="92">
        <f>-'EU MDM-832'!$F98</f>
        <v>-0.30104302614689882</v>
      </c>
      <c r="AE107" s="92">
        <f>-'EU MDM-832'!$H98</f>
        <v>-0.30104302614689882</v>
      </c>
      <c r="AF107" s="92">
        <f>-'EU MDM-832'!$J98</f>
        <v>-0.30104302614689882</v>
      </c>
      <c r="AG107" s="92">
        <f>-'EU MDM-832'!$L98</f>
        <v>-0.30104302614689882</v>
      </c>
      <c r="AH107" s="92">
        <f>-'EU MDM-832'!$N98</f>
        <v>-0.30104302614689882</v>
      </c>
      <c r="AI107" s="92">
        <f>-'EU MDM-832'!$P98</f>
        <v>-0.30104302614689882</v>
      </c>
      <c r="AJ107" s="92">
        <f>-'EU MDM-832'!$R98</f>
        <v>-0.30104302614689882</v>
      </c>
    </row>
    <row r="108" spans="1:36" x14ac:dyDescent="0.2">
      <c r="A108" s="1"/>
      <c r="B108" s="1"/>
      <c r="C108" s="1"/>
      <c r="D108" s="1"/>
      <c r="E108" s="1"/>
      <c r="F108" s="1"/>
      <c r="G108" s="1"/>
      <c r="H108" s="1"/>
      <c r="I108" s="1"/>
      <c r="J108" s="1"/>
      <c r="K108" s="1"/>
      <c r="L108" s="1"/>
      <c r="M108" s="1"/>
      <c r="N108" s="1"/>
      <c r="O108" s="1"/>
      <c r="P108" s="1"/>
      <c r="Q108" s="1"/>
      <c r="R108" s="1"/>
      <c r="S108" s="1"/>
      <c r="T108" s="1"/>
      <c r="U108" s="571"/>
      <c r="W108" s="89" t="s">
        <v>230</v>
      </c>
      <c r="X108" s="90">
        <f>IF(X107&lt;0,X106,100)</f>
        <v>35.75</v>
      </c>
      <c r="Y108" s="90">
        <f>IF(Y107&lt;0,Y106,100)</f>
        <v>29.333333333333336</v>
      </c>
      <c r="Z108" s="90">
        <f>IF(Z107&lt;0,Z106,100)</f>
        <v>29.333333333333336</v>
      </c>
      <c r="AA108" s="90"/>
      <c r="AB108" s="89" t="s">
        <v>234</v>
      </c>
      <c r="AC108" s="90">
        <f t="shared" ref="AC108:AJ108" si="13">IF(AC107&gt;-AC106,AC107,-AC106)</f>
        <v>-0.30104302614689882</v>
      </c>
      <c r="AD108" s="90">
        <f t="shared" si="13"/>
        <v>-0.30104302614689882</v>
      </c>
      <c r="AE108" s="90">
        <f t="shared" si="13"/>
        <v>-0.30104302614689882</v>
      </c>
      <c r="AF108" s="90">
        <f t="shared" si="13"/>
        <v>-0.30104302614689882</v>
      </c>
      <c r="AG108" s="90">
        <f t="shared" si="13"/>
        <v>-0.30104302614689882</v>
      </c>
      <c r="AH108" s="90">
        <f t="shared" si="13"/>
        <v>-0.30104302614689882</v>
      </c>
      <c r="AI108" s="90">
        <f t="shared" si="13"/>
        <v>-0.30104302614689882</v>
      </c>
      <c r="AJ108" s="90">
        <f t="shared" si="13"/>
        <v>-0.30104302614689882</v>
      </c>
    </row>
    <row r="109" spans="1:36" x14ac:dyDescent="0.2">
      <c r="A109" s="1"/>
      <c r="B109" s="1"/>
      <c r="C109" s="1"/>
      <c r="D109" s="1"/>
      <c r="E109" s="1"/>
      <c r="F109" s="1"/>
      <c r="G109" s="1"/>
      <c r="H109" s="1"/>
      <c r="I109" s="1"/>
      <c r="J109" s="1"/>
      <c r="K109" s="1"/>
      <c r="L109" s="1"/>
      <c r="M109" s="1"/>
      <c r="N109" s="1"/>
      <c r="O109" s="1"/>
      <c r="P109" s="1"/>
      <c r="Q109" s="1"/>
      <c r="R109" s="1"/>
      <c r="S109" s="1"/>
      <c r="T109" s="1"/>
      <c r="U109" s="571"/>
      <c r="W109" s="89" t="s">
        <v>231</v>
      </c>
      <c r="X109" s="90" t="e">
        <f>IF(X106&gt;100,X106-X108,NA())</f>
        <v>#N/A</v>
      </c>
      <c r="Y109" s="90" t="e">
        <f>IF(Y106&gt;100,Y106-Y108,NA())</f>
        <v>#N/A</v>
      </c>
      <c r="Z109" s="90" t="e">
        <f>IF(Z106&gt;100,Z106-Z108,NA())</f>
        <v>#N/A</v>
      </c>
      <c r="AA109" s="90"/>
      <c r="AB109" s="89" t="s">
        <v>235</v>
      </c>
      <c r="AC109" s="90" t="e">
        <f t="shared" ref="AC109:AJ109" si="14">IF(AC107&gt;-AC106,NA(),AC107+AC106)</f>
        <v>#N/A</v>
      </c>
      <c r="AD109" s="90" t="e">
        <f t="shared" si="14"/>
        <v>#N/A</v>
      </c>
      <c r="AE109" s="90" t="e">
        <f t="shared" si="14"/>
        <v>#N/A</v>
      </c>
      <c r="AF109" s="90" t="e">
        <f t="shared" si="14"/>
        <v>#N/A</v>
      </c>
      <c r="AG109" s="90" t="e">
        <f t="shared" si="14"/>
        <v>#N/A</v>
      </c>
      <c r="AH109" s="90" t="e">
        <f t="shared" si="14"/>
        <v>#N/A</v>
      </c>
      <c r="AI109" s="90" t="e">
        <f t="shared" si="14"/>
        <v>#N/A</v>
      </c>
      <c r="AJ109" s="90" t="e">
        <f t="shared" si="14"/>
        <v>#N/A</v>
      </c>
    </row>
    <row r="110" spans="1:36" x14ac:dyDescent="0.2">
      <c r="A110" s="1"/>
      <c r="B110" s="1"/>
      <c r="C110" s="1"/>
      <c r="D110" s="1"/>
      <c r="E110" s="1"/>
      <c r="F110" s="1"/>
      <c r="G110" s="1"/>
      <c r="H110" s="1"/>
      <c r="I110" s="1"/>
      <c r="J110" s="1"/>
      <c r="K110" s="1"/>
      <c r="L110" s="1"/>
      <c r="M110" s="1"/>
      <c r="N110" s="1"/>
      <c r="O110" s="1"/>
      <c r="P110" s="1"/>
      <c r="Q110" s="1"/>
      <c r="R110" s="1"/>
      <c r="S110" s="1"/>
      <c r="T110" s="1"/>
      <c r="U110" s="571"/>
      <c r="W110" s="89"/>
      <c r="X110" s="90"/>
      <c r="Y110" s="90"/>
      <c r="Z110" s="90"/>
      <c r="AA110" s="90"/>
      <c r="AB110" s="89"/>
    </row>
    <row r="111" spans="1:36" x14ac:dyDescent="0.2">
      <c r="A111" s="1"/>
      <c r="B111" s="1"/>
      <c r="C111" s="1"/>
      <c r="D111" s="1"/>
      <c r="E111" s="1"/>
      <c r="F111" s="1"/>
      <c r="G111" s="1"/>
      <c r="H111" s="1"/>
      <c r="I111" s="1"/>
      <c r="J111" s="1"/>
      <c r="K111" s="1"/>
      <c r="L111" s="1"/>
      <c r="M111" s="1"/>
      <c r="N111" s="1"/>
      <c r="O111" s="1"/>
      <c r="P111" s="1"/>
      <c r="Q111" s="1"/>
      <c r="R111" s="1"/>
      <c r="S111" s="1"/>
      <c r="T111" s="1"/>
      <c r="U111" s="571"/>
      <c r="W111" s="89"/>
      <c r="X111" s="90"/>
      <c r="Y111" s="90"/>
      <c r="Z111" s="90"/>
      <c r="AA111" s="90"/>
      <c r="AB111" s="89"/>
    </row>
    <row r="112" spans="1:36" x14ac:dyDescent="0.2">
      <c r="A112" s="1"/>
      <c r="B112" s="1"/>
      <c r="C112" s="1"/>
      <c r="D112" s="1"/>
      <c r="E112" s="1"/>
      <c r="F112" s="1"/>
      <c r="G112" s="1"/>
      <c r="H112" s="1"/>
      <c r="I112" s="1"/>
      <c r="J112" s="1"/>
      <c r="K112" s="1"/>
      <c r="L112" s="1"/>
      <c r="M112" s="1"/>
      <c r="N112" s="1"/>
      <c r="O112" s="1"/>
      <c r="P112" s="1"/>
      <c r="Q112" s="1"/>
      <c r="R112" s="1"/>
      <c r="S112" s="1"/>
      <c r="T112" s="1"/>
      <c r="U112" s="571"/>
      <c r="W112" s="89"/>
      <c r="X112" s="90"/>
      <c r="Y112" s="90"/>
      <c r="Z112" s="90"/>
      <c r="AA112" s="90"/>
      <c r="AB112" s="89"/>
    </row>
    <row r="113" spans="1:28" x14ac:dyDescent="0.2">
      <c r="A113" s="1"/>
      <c r="B113" s="1"/>
      <c r="C113" s="1"/>
      <c r="D113" s="1"/>
      <c r="E113" s="1"/>
      <c r="F113" s="1"/>
      <c r="G113" s="1"/>
      <c r="H113" s="1"/>
      <c r="I113" s="1"/>
      <c r="J113" s="1"/>
      <c r="K113" s="1"/>
      <c r="L113" s="1"/>
      <c r="M113" s="1"/>
      <c r="N113" s="1"/>
      <c r="O113" s="1"/>
      <c r="P113" s="1"/>
      <c r="Q113" s="1"/>
      <c r="R113" s="1"/>
      <c r="S113" s="1"/>
      <c r="T113" s="1"/>
      <c r="U113" s="571"/>
      <c r="W113" s="89"/>
      <c r="X113" s="90"/>
      <c r="Y113" s="90"/>
      <c r="Z113" s="90"/>
      <c r="AA113" s="90"/>
      <c r="AB113" s="89"/>
    </row>
    <row r="114" spans="1:28" ht="17" thickBot="1" x14ac:dyDescent="0.25">
      <c r="A114" s="160"/>
      <c r="B114" s="168" t="str">
        <f>Data!$T$1</f>
        <v>Meyer Sound Laboratories, Inc. Berkeley, California, USA                                 www.meyersound.com</v>
      </c>
      <c r="C114" s="160"/>
      <c r="D114" s="160"/>
      <c r="E114" s="160"/>
      <c r="F114" s="160"/>
      <c r="G114" s="160"/>
      <c r="H114" s="160"/>
      <c r="I114" s="160"/>
      <c r="J114" s="160"/>
      <c r="K114" s="160"/>
      <c r="L114" s="160"/>
      <c r="M114" s="160"/>
      <c r="N114" s="160"/>
      <c r="O114" s="160"/>
      <c r="P114" s="160"/>
      <c r="Q114" s="160"/>
      <c r="R114" s="160"/>
      <c r="S114" s="160"/>
      <c r="T114" s="126" t="str">
        <f>Data!$G$1</f>
        <v>© 2021</v>
      </c>
      <c r="U114" s="571"/>
    </row>
    <row r="115" spans="1:28" ht="17" thickBot="1" x14ac:dyDescent="0.25">
      <c r="A115" s="1"/>
      <c r="B115" s="1"/>
      <c r="C115" s="1"/>
      <c r="D115" s="1"/>
      <c r="E115" s="1"/>
      <c r="F115" s="1"/>
      <c r="G115" s="1"/>
      <c r="H115" s="1"/>
      <c r="I115" s="1"/>
      <c r="J115" s="1"/>
      <c r="K115" s="1"/>
      <c r="L115" s="1"/>
      <c r="M115" s="1"/>
      <c r="N115" s="1"/>
      <c r="O115" s="1"/>
      <c r="P115" s="1"/>
      <c r="Q115" s="1"/>
      <c r="R115" s="1"/>
      <c r="S115" s="162" t="str">
        <f>Data!$M$1</f>
        <v>06.257.005.01 C</v>
      </c>
      <c r="T115" s="1"/>
    </row>
    <row r="116" spans="1:28" x14ac:dyDescent="0.2">
      <c r="A116" s="1"/>
      <c r="B116" s="10" t="s">
        <v>192</v>
      </c>
      <c r="C116" s="1"/>
      <c r="D116" s="11" t="s">
        <v>239</v>
      </c>
      <c r="E116" s="154">
        <f>'Master EU'!$N$5</f>
        <v>230</v>
      </c>
      <c r="F116" s="1"/>
      <c r="G116" s="1"/>
      <c r="H116" s="572" t="s">
        <v>240</v>
      </c>
      <c r="I116" s="573"/>
      <c r="J116" s="7"/>
      <c r="K116" s="55"/>
      <c r="L116" s="1"/>
      <c r="M116" s="1"/>
      <c r="N116" s="53" t="s">
        <v>241</v>
      </c>
      <c r="O116" s="54"/>
      <c r="P116" s="27" t="s">
        <v>194</v>
      </c>
      <c r="Q116" s="27"/>
      <c r="R116" s="31">
        <v>2.5</v>
      </c>
      <c r="S116" s="30" t="s">
        <v>107</v>
      </c>
      <c r="T116" s="1"/>
    </row>
    <row r="117" spans="1:28" ht="5" customHeight="1" x14ac:dyDescent="0.25">
      <c r="A117" s="1"/>
      <c r="B117" s="2"/>
      <c r="C117" s="1"/>
      <c r="D117" s="5"/>
      <c r="E117" s="7"/>
      <c r="F117" s="1"/>
      <c r="G117" s="8"/>
      <c r="H117" s="56"/>
      <c r="I117" s="57"/>
      <c r="J117" s="1"/>
      <c r="K117" s="1"/>
      <c r="L117" s="7"/>
      <c r="M117" s="8"/>
      <c r="N117" s="58"/>
      <c r="O117" s="59"/>
      <c r="P117" s="1"/>
      <c r="Q117" s="1"/>
      <c r="R117" s="1"/>
      <c r="S117" s="1"/>
      <c r="T117" s="1"/>
    </row>
    <row r="118" spans="1:28" ht="15" customHeight="1" x14ac:dyDescent="0.2">
      <c r="A118" s="1"/>
      <c r="B118" s="23" t="str">
        <f>_xlfn.TEXTJOIN("",FALSE,"MLTC + ",'Master EU'!D11,"%")</f>
        <v>MLTC + 30%</v>
      </c>
      <c r="C118" s="1"/>
      <c r="D118" s="25">
        <f>(D128+F128+H128+J128+L128+N128+P128+R128)*(1+('Master EU'!D11/100))</f>
        <v>11.44</v>
      </c>
      <c r="E118" s="13" t="str">
        <f>IF(D118&gt;Data!$AC$22,"&lt;OVER!","A RMS")</f>
        <v>A RMS</v>
      </c>
      <c r="F118" s="580" t="s">
        <v>242</v>
      </c>
      <c r="G118" s="581"/>
      <c r="H118" s="48">
        <f>D128+F128+H128+J128</f>
        <v>4.4000000000000004</v>
      </c>
      <c r="I118" s="49" t="str">
        <f>IF(H118&gt;Data!$AC$23,"&lt;OVER!","A RMS")</f>
        <v>A RMS</v>
      </c>
      <c r="J118" s="574" t="s">
        <v>109</v>
      </c>
      <c r="K118" s="575"/>
      <c r="L118" s="575"/>
      <c r="M118" s="576"/>
      <c r="N118" s="48">
        <f>L128+N128+P128+R128</f>
        <v>4.4000000000000004</v>
      </c>
      <c r="O118" s="49" t="str">
        <f>IF(N118&gt;Data!$AC$23,"&lt;OVER!","A RMS")</f>
        <v>A RMS</v>
      </c>
      <c r="P118" s="1"/>
      <c r="Q118" s="562" t="str">
        <f>IF('EU MDM-832'!W128&gt;0,"N O !","O K")</f>
        <v>O K</v>
      </c>
      <c r="R118" s="563"/>
      <c r="S118" s="568">
        <v>4</v>
      </c>
      <c r="T118" s="569"/>
    </row>
    <row r="119" spans="1:28" ht="15" customHeight="1" x14ac:dyDescent="0.2">
      <c r="A119" s="1"/>
      <c r="B119" s="23" t="s">
        <v>199</v>
      </c>
      <c r="C119" s="1"/>
      <c r="D119" s="25">
        <f>(D129+F129+H129+J129+L129+N129+P129+R129)</f>
        <v>19.2</v>
      </c>
      <c r="E119" s="13" t="s">
        <v>116</v>
      </c>
      <c r="F119" s="580"/>
      <c r="G119" s="581"/>
      <c r="H119" s="48">
        <f>D129+F129+H129+J129</f>
        <v>9.6</v>
      </c>
      <c r="I119" s="50" t="s">
        <v>243</v>
      </c>
      <c r="J119" s="577" t="s">
        <v>110</v>
      </c>
      <c r="K119" s="578"/>
      <c r="L119" s="578"/>
      <c r="M119" s="579"/>
      <c r="N119" s="48">
        <f>L129+N129+P129+R129</f>
        <v>9.6</v>
      </c>
      <c r="O119" s="50" t="s">
        <v>243</v>
      </c>
      <c r="P119" s="1"/>
      <c r="Q119" s="564"/>
      <c r="R119" s="565"/>
      <c r="S119" s="568"/>
      <c r="T119" s="569"/>
    </row>
    <row r="120" spans="1:28" ht="15" customHeight="1" thickBot="1" x14ac:dyDescent="0.25">
      <c r="A120" s="1"/>
      <c r="B120" s="24" t="s">
        <v>200</v>
      </c>
      <c r="C120" s="1"/>
      <c r="D120" s="26">
        <f>(D130+F130+H130+J130+L130+N130+P130+R130)</f>
        <v>19.2</v>
      </c>
      <c r="E120" s="60" t="s">
        <v>117</v>
      </c>
      <c r="F120" s="580"/>
      <c r="G120" s="581"/>
      <c r="H120" s="51">
        <f>D130+F130+H130+J130</f>
        <v>9.6</v>
      </c>
      <c r="I120" s="52" t="str">
        <f>IF(H120&gt;Data!$AC$24,"&lt;OVER!","A Pk")</f>
        <v>A Pk</v>
      </c>
      <c r="J120" s="577" t="s">
        <v>200</v>
      </c>
      <c r="K120" s="578"/>
      <c r="L120" s="578"/>
      <c r="M120" s="579"/>
      <c r="N120" s="51">
        <f>L130+N130+P130+R130</f>
        <v>9.6</v>
      </c>
      <c r="O120" s="52" t="str">
        <f>IF(N120&gt;Data!$AC$24,"&lt;OVER!","A Pk")</f>
        <v>A Pk</v>
      </c>
      <c r="P120" s="1"/>
      <c r="Q120" s="566"/>
      <c r="R120" s="567"/>
      <c r="S120" s="568"/>
      <c r="T120" s="569"/>
    </row>
    <row r="121" spans="1:28" ht="8" customHeight="1" thickBot="1" x14ac:dyDescent="0.25">
      <c r="A121" s="1"/>
      <c r="B121" s="1"/>
      <c r="C121" s="1"/>
      <c r="D121" s="1"/>
      <c r="E121" s="1"/>
      <c r="F121" s="1"/>
      <c r="G121" s="1"/>
      <c r="H121" s="1"/>
      <c r="I121" s="1"/>
      <c r="J121" s="1"/>
      <c r="K121" s="1"/>
      <c r="L121" s="1"/>
      <c r="M121" s="1"/>
      <c r="N121" s="1"/>
      <c r="O121" s="1"/>
      <c r="P121" s="1"/>
      <c r="Q121" s="1"/>
      <c r="R121" s="1"/>
      <c r="S121" s="1"/>
      <c r="T121" s="1"/>
    </row>
    <row r="122" spans="1:28" x14ac:dyDescent="0.2">
      <c r="A122" s="1"/>
      <c r="B122" s="10" t="s">
        <v>203</v>
      </c>
      <c r="C122" s="1"/>
      <c r="D122" s="560">
        <v>1</v>
      </c>
      <c r="E122" s="561"/>
      <c r="F122" s="553">
        <v>2</v>
      </c>
      <c r="G122" s="561"/>
      <c r="H122" s="553">
        <v>3</v>
      </c>
      <c r="I122" s="561"/>
      <c r="J122" s="553">
        <v>4</v>
      </c>
      <c r="K122" s="554"/>
      <c r="L122" s="560">
        <v>5</v>
      </c>
      <c r="M122" s="561"/>
      <c r="N122" s="553">
        <v>6</v>
      </c>
      <c r="O122" s="561"/>
      <c r="P122" s="553">
        <v>7</v>
      </c>
      <c r="Q122" s="561"/>
      <c r="R122" s="553">
        <v>8</v>
      </c>
      <c r="S122" s="554"/>
      <c r="T122" s="1"/>
      <c r="V122" t="s">
        <v>244</v>
      </c>
    </row>
    <row r="123" spans="1:28" x14ac:dyDescent="0.2">
      <c r="A123" s="1"/>
      <c r="B123" s="23" t="s">
        <v>205</v>
      </c>
      <c r="C123" s="1"/>
      <c r="D123" s="61" t="s">
        <v>246</v>
      </c>
      <c r="E123" s="62">
        <v>1</v>
      </c>
      <c r="F123" s="63" t="s">
        <v>246</v>
      </c>
      <c r="G123" s="62">
        <v>1</v>
      </c>
      <c r="H123" s="63" t="s">
        <v>246</v>
      </c>
      <c r="I123" s="62">
        <v>1</v>
      </c>
      <c r="J123" s="63" t="s">
        <v>246</v>
      </c>
      <c r="K123" s="64">
        <v>1</v>
      </c>
      <c r="L123" s="61" t="s">
        <v>246</v>
      </c>
      <c r="M123" s="62">
        <v>1</v>
      </c>
      <c r="N123" s="63" t="s">
        <v>246</v>
      </c>
      <c r="O123" s="62">
        <v>1</v>
      </c>
      <c r="P123" s="63" t="s">
        <v>246</v>
      </c>
      <c r="Q123" s="62">
        <v>1</v>
      </c>
      <c r="R123" s="63" t="s">
        <v>246</v>
      </c>
      <c r="S123" s="64">
        <v>1</v>
      </c>
      <c r="T123" s="1"/>
      <c r="V123" t="s">
        <v>162</v>
      </c>
      <c r="W123">
        <f>IF('EU MDM-832'!D118&gt;Data!$AC$22,1,0)</f>
        <v>0</v>
      </c>
    </row>
    <row r="124" spans="1:28" x14ac:dyDescent="0.2">
      <c r="A124" s="1"/>
      <c r="B124" s="23" t="s">
        <v>205</v>
      </c>
      <c r="C124" s="1"/>
      <c r="D124" s="65" t="s">
        <v>127</v>
      </c>
      <c r="E124" s="62">
        <v>0</v>
      </c>
      <c r="F124" s="66" t="s">
        <v>127</v>
      </c>
      <c r="G124" s="62">
        <v>0</v>
      </c>
      <c r="H124" s="66" t="s">
        <v>127</v>
      </c>
      <c r="I124" s="62">
        <v>0</v>
      </c>
      <c r="J124" s="66" t="s">
        <v>127</v>
      </c>
      <c r="K124" s="64">
        <v>0</v>
      </c>
      <c r="L124" s="65" t="s">
        <v>127</v>
      </c>
      <c r="M124" s="62">
        <v>0</v>
      </c>
      <c r="N124" s="66" t="s">
        <v>127</v>
      </c>
      <c r="O124" s="62">
        <v>0</v>
      </c>
      <c r="P124" s="66" t="s">
        <v>127</v>
      </c>
      <c r="Q124" s="62">
        <v>0</v>
      </c>
      <c r="R124" s="66" t="s">
        <v>127</v>
      </c>
      <c r="S124" s="64">
        <v>0</v>
      </c>
      <c r="T124" s="1"/>
      <c r="V124" t="s">
        <v>201</v>
      </c>
      <c r="W124">
        <f>IF(OR('EU MDM-832'!H118&gt;Data!$AC$23,'EU MDM-832'!N118&gt;Data!$AC$23,),1,0)</f>
        <v>0</v>
      </c>
    </row>
    <row r="125" spans="1:28" x14ac:dyDescent="0.2">
      <c r="A125" s="1"/>
      <c r="B125" s="23" t="s">
        <v>121</v>
      </c>
      <c r="C125" s="1"/>
      <c r="D125" s="68">
        <v>30</v>
      </c>
      <c r="E125" s="29" t="s">
        <v>209</v>
      </c>
      <c r="F125" s="67">
        <v>30</v>
      </c>
      <c r="G125" s="29" t="s">
        <v>209</v>
      </c>
      <c r="H125" s="67">
        <v>30</v>
      </c>
      <c r="I125" s="29" t="s">
        <v>209</v>
      </c>
      <c r="J125" s="67">
        <v>30</v>
      </c>
      <c r="K125" s="28" t="s">
        <v>209</v>
      </c>
      <c r="L125" s="68">
        <v>30</v>
      </c>
      <c r="M125" s="29" t="s">
        <v>209</v>
      </c>
      <c r="N125" s="67">
        <v>30</v>
      </c>
      <c r="O125" s="29" t="s">
        <v>209</v>
      </c>
      <c r="P125" s="67">
        <v>30</v>
      </c>
      <c r="Q125" s="29" t="s">
        <v>209</v>
      </c>
      <c r="R125" s="67">
        <v>30</v>
      </c>
      <c r="S125" s="28" t="s">
        <v>209</v>
      </c>
      <c r="T125" s="1"/>
      <c r="V125" t="s">
        <v>202</v>
      </c>
      <c r="W125">
        <f>IF(OR('EU MDM-832'!H120&gt;Data!$AC$24,'EU MDM-832'!N120&gt;Data!$AC$24,),1,0)</f>
        <v>0</v>
      </c>
    </row>
    <row r="126" spans="1:28" ht="11" customHeight="1" x14ac:dyDescent="0.2">
      <c r="A126" s="1"/>
      <c r="B126" s="2"/>
      <c r="C126" s="1"/>
      <c r="D126" s="555" t="s">
        <v>210</v>
      </c>
      <c r="E126" s="556"/>
      <c r="F126" s="556"/>
      <c r="G126" s="556"/>
      <c r="H126" s="556"/>
      <c r="I126" s="556"/>
      <c r="J126" s="556"/>
      <c r="K126" s="558"/>
      <c r="L126" s="555" t="s">
        <v>210</v>
      </c>
      <c r="M126" s="556"/>
      <c r="N126" s="556"/>
      <c r="O126" s="556"/>
      <c r="P126" s="556"/>
      <c r="Q126" s="556"/>
      <c r="R126" s="556"/>
      <c r="S126" s="558"/>
      <c r="T126" s="1"/>
      <c r="V126" t="s">
        <v>204</v>
      </c>
      <c r="W126">
        <f>IF(OR('EU MDM-832'!D136&gt;Data!$AC$27,'EU MDM-832'!F136&gt;Data!$AC$27,'EU MDM-832'!H136&gt;Data!$AC$27,'EU MDM-832'!J136&gt;Data!$AC$27,'EU MDM-832'!L136&gt;Data!$AC$27,'EU MDM-832'!N136&gt;Data!$AC$27,'EU MDM-832'!P136&gt;Data!$AC$27,'EU MDM-832'!R136&gt;Data!$AC$27),1,0)</f>
        <v>0</v>
      </c>
    </row>
    <row r="127" spans="1:28" ht="6" customHeight="1" x14ac:dyDescent="0.2">
      <c r="A127" s="1"/>
      <c r="B127" s="2"/>
      <c r="C127" s="1"/>
      <c r="D127" s="3"/>
      <c r="E127" s="4"/>
      <c r="F127" s="5"/>
      <c r="G127" s="4"/>
      <c r="H127" s="5"/>
      <c r="I127" s="4"/>
      <c r="J127" s="5"/>
      <c r="K127" s="6"/>
      <c r="L127" s="3"/>
      <c r="M127" s="4"/>
      <c r="N127" s="5"/>
      <c r="O127" s="4"/>
      <c r="P127" s="5"/>
      <c r="Q127" s="4"/>
      <c r="R127" s="5"/>
      <c r="S127" s="6"/>
      <c r="T127" s="1"/>
    </row>
    <row r="128" spans="1:28" x14ac:dyDescent="0.2">
      <c r="A128" s="1"/>
      <c r="B128" s="23" t="s">
        <v>211</v>
      </c>
      <c r="C128" s="1"/>
      <c r="D128" s="12">
        <f>(((VLOOKUP(D123,Data!$R$4:$U$62,2,FALSE)*E123)+(VLOOKUP(D124,Data!$R$4:$U$62,2,FALSE)*E124))/E116)*Data!$R$3</f>
        <v>1.1000000000000001</v>
      </c>
      <c r="E128" s="13" t="str">
        <f>IF(H118&gt;Data!$AC$23,"&lt;&lt;&lt;","A RMS")</f>
        <v>A RMS</v>
      </c>
      <c r="F128" s="14">
        <f>(((VLOOKUP(F123,Data!$R$4:$U$62,2,FALSE)*G123)+(VLOOKUP(F124,Data!$R$4:$U$62,2,FALSE)*G124))/E116)*Data!$R$3</f>
        <v>1.1000000000000001</v>
      </c>
      <c r="G128" s="13" t="str">
        <f>IF(H118&gt;Data!$AC$23,"&lt;&lt;&lt;","A RMS")</f>
        <v>A RMS</v>
      </c>
      <c r="H128" s="14">
        <f>(((VLOOKUP(H123,Data!$R$4:$U$62,2,FALSE)*I123)+(VLOOKUP(H124,Data!$R$4:$U$62,2,FALSE)*I124))/E116)*Data!$R$3</f>
        <v>1.1000000000000001</v>
      </c>
      <c r="I128" s="13" t="str">
        <f>IF(H118&gt;Data!$AC$23,"&lt;&lt;&lt;","A RMS")</f>
        <v>A RMS</v>
      </c>
      <c r="J128" s="14">
        <f>(((VLOOKUP(J123,Data!$R$4:$U$62,2,FALSE)*K123)+(VLOOKUP(J124,Data!$R$4:$U$62,2,FALSE)*K124))/E116)*Data!$R$3</f>
        <v>1.1000000000000001</v>
      </c>
      <c r="K128" s="15" t="str">
        <f>IF(H118&gt;Data!$AC$23,"&lt;&lt;&lt;","A RMS")</f>
        <v>A RMS</v>
      </c>
      <c r="L128" s="12">
        <f>(((VLOOKUP(L123,Data!$R$4:$U$62,2,FALSE)*M123)+(VLOOKUP(L124,Data!$R$4:$U$62,2,FALSE)*M124))/E116)*Data!$R$3</f>
        <v>1.1000000000000001</v>
      </c>
      <c r="M128" s="13" t="str">
        <f>IF(N118&gt;Data!$AC$23,"&lt;&lt;&lt;","A RMS")</f>
        <v>A RMS</v>
      </c>
      <c r="N128" s="14">
        <f>(((VLOOKUP(N123,Data!$R$4:$U$62,2,FALSE)*O123)+(VLOOKUP(N124,Data!$R$4:$U$62,2,FALSE)*O124))/E116)*Data!$R$3</f>
        <v>1.1000000000000001</v>
      </c>
      <c r="O128" s="13" t="str">
        <f>IF(N118&gt;Data!$AC$23,"&lt;&lt;&lt;","A RMS")</f>
        <v>A RMS</v>
      </c>
      <c r="P128" s="14">
        <f>(((VLOOKUP(P123,Data!$R$4:$U$62,2,FALSE)*Q123)+(VLOOKUP(P124,Data!$R$4:$U$62,2,FALSE)*Q124))/E116)*Data!$R$3</f>
        <v>1.1000000000000001</v>
      </c>
      <c r="Q128" s="13" t="str">
        <f>IF(N118&gt;Data!$AC$23,"&lt;&lt;&lt;","A RMS")</f>
        <v>A RMS</v>
      </c>
      <c r="R128" s="14">
        <f>(((VLOOKUP(R123,Data!$R$4:$U$62,2,FALSE)*S123)+(VLOOKUP(R124,Data!$R$4:$U$62,2,FALSE)*S124))/E116)*Data!$R$3</f>
        <v>1.1000000000000001</v>
      </c>
      <c r="S128" s="15" t="str">
        <f>IF(N118&gt;Data!$AC$23,"&lt;&lt;&lt;","A RMS")</f>
        <v>A RMS</v>
      </c>
      <c r="T128" s="1"/>
      <c r="V128" t="s">
        <v>208</v>
      </c>
      <c r="W128">
        <f>SUM(W123:W126)</f>
        <v>0</v>
      </c>
    </row>
    <row r="129" spans="1:36" x14ac:dyDescent="0.2">
      <c r="A129" s="1"/>
      <c r="B129" s="23" t="s">
        <v>199</v>
      </c>
      <c r="C129" s="1"/>
      <c r="D129" s="12">
        <f>(((VLOOKUP(D123,Data!$R$4:$U$62,3,FALSE)*E123)+(VLOOKUP(D124,Data!$R$4:$U$62,3,FALSE)*E124))/E116)*Data!$R$3</f>
        <v>2.4</v>
      </c>
      <c r="E129" s="13" t="s">
        <v>116</v>
      </c>
      <c r="F129" s="14">
        <f>(((VLOOKUP(F123,Data!$R$4:$U$62,3,FALSE)*G123)+(VLOOKUP(F124,Data!$R$4:$U$62,3,FALSE)*G124))/E116)*Data!$R$3</f>
        <v>2.4</v>
      </c>
      <c r="G129" s="13" t="s">
        <v>116</v>
      </c>
      <c r="H129" s="14">
        <f>(((VLOOKUP(H123,Data!$R$4:$U$62,3,FALSE)*I123)+(VLOOKUP(H124,Data!$R$4:$U$62,3,FALSE)*I124))/E116)*Data!$R$3</f>
        <v>2.4</v>
      </c>
      <c r="I129" s="13" t="s">
        <v>116</v>
      </c>
      <c r="J129" s="14">
        <f>(((VLOOKUP(J123,Data!$R$4:$U$62,3,FALSE)*K123)+(VLOOKUP(J124,Data!$R$4:$U$62,3,FALSE)*K124))/E116)*Data!$R$3</f>
        <v>2.4</v>
      </c>
      <c r="K129" s="15" t="s">
        <v>116</v>
      </c>
      <c r="L129" s="12">
        <f>(((VLOOKUP(L123,Data!$R$4:$U$62,3,FALSE)*M123)+(VLOOKUP(L124,Data!$R$4:$U$62,3,FALSE)*M124))/E116)*Data!$R$3</f>
        <v>2.4</v>
      </c>
      <c r="M129" s="13" t="s">
        <v>116</v>
      </c>
      <c r="N129" s="14">
        <f>(((VLOOKUP(N123,Data!$R$4:$U$62,3,FALSE)*O123)+(VLOOKUP(N124,Data!$R$4:$U$62,3,FALSE)*O124))/E116)*Data!$R$3</f>
        <v>2.4</v>
      </c>
      <c r="O129" s="13" t="s">
        <v>116</v>
      </c>
      <c r="P129" s="14">
        <f>(((VLOOKUP(P123,Data!$R$4:$U$62,3,FALSE)*Q123)+(VLOOKUP(P124,Data!$R$4:$U$62,3,FALSE)*Q124))/E116)*Data!$R$3</f>
        <v>2.4</v>
      </c>
      <c r="Q129" s="13" t="s">
        <v>116</v>
      </c>
      <c r="R129" s="14">
        <f>(((VLOOKUP(R123,Data!$R$4:$U$62,3,FALSE)*S123)+(VLOOKUP(R124,Data!$R$4:$U$62,3,FALSE)*S124))/E116)*Data!$R$3</f>
        <v>2.4</v>
      </c>
      <c r="S129" s="15" t="s">
        <v>116</v>
      </c>
      <c r="T129" s="1"/>
    </row>
    <row r="130" spans="1:36" x14ac:dyDescent="0.2">
      <c r="A130" s="1"/>
      <c r="B130" s="23" t="s">
        <v>200</v>
      </c>
      <c r="C130" s="1"/>
      <c r="D130" s="12">
        <f>(((VLOOKUP(D123,Data!$R$4:$U$62,4,FALSE)*E123)+(VLOOKUP(D124,Data!$R$4:$U$62,4,FALSE)*E124))/E116)*Data!$R$3</f>
        <v>2.4</v>
      </c>
      <c r="E130" s="13" t="s">
        <v>117</v>
      </c>
      <c r="F130" s="14">
        <f>(((VLOOKUP(F123,Data!$R$4:$U$62,4,FALSE)*G123)+(VLOOKUP(F124,Data!$R$4:$U$62,4,FALSE)*G124))/E116)*Data!$R$3</f>
        <v>2.4</v>
      </c>
      <c r="G130" s="13" t="s">
        <v>117</v>
      </c>
      <c r="H130" s="14">
        <f>(((VLOOKUP(H123,Data!$R$4:$U$62,4,FALSE)*I123)+(VLOOKUP(H124,Data!$R$4:$U$62,4,FALSE)*I124))/E116)*Data!$R$3</f>
        <v>2.4</v>
      </c>
      <c r="I130" s="13" t="s">
        <v>117</v>
      </c>
      <c r="J130" s="14">
        <f>(((VLOOKUP(J123,Data!$R$4:$U$62,4,FALSE)*K123)+(VLOOKUP(J124,Data!$R$4:$U$62,4,FALSE)*K124))/E116)*Data!$R$3</f>
        <v>2.4</v>
      </c>
      <c r="K130" s="15" t="s">
        <v>117</v>
      </c>
      <c r="L130" s="12">
        <f>(((VLOOKUP(L123,Data!$R$4:$U$62,4,FALSE)*M123)+(VLOOKUP(L124,Data!$R$4:$U$62,4,FALSE)*M124))/E116)*Data!$R$3</f>
        <v>2.4</v>
      </c>
      <c r="M130" s="13" t="s">
        <v>117</v>
      </c>
      <c r="N130" s="14">
        <f>(((VLOOKUP(N123,Data!$R$4:$U$62,4,FALSE)*O123)+(VLOOKUP(N124,Data!$R$4:$U$62,4,FALSE)*O124))/E116)*Data!$R$3</f>
        <v>2.4</v>
      </c>
      <c r="O130" s="13" t="s">
        <v>117</v>
      </c>
      <c r="P130" s="14">
        <f>(((VLOOKUP(P123,Data!$R$4:$U$62,4,FALSE)*Q123)+(VLOOKUP(P124,Data!$R$4:$U$62,4,FALSE)*Q124))/E116)*Data!$R$3</f>
        <v>2.4</v>
      </c>
      <c r="Q130" s="13" t="s">
        <v>117</v>
      </c>
      <c r="R130" s="14">
        <f>(((VLOOKUP(R123,Data!$R$4:$U$62,4,FALSE)*S123)+(VLOOKUP(R124,Data!$R$4:$U$62,4,FALSE)*S124))/E116)*Data!$R$3</f>
        <v>2.4</v>
      </c>
      <c r="S130" s="15" t="s">
        <v>117</v>
      </c>
      <c r="T130" s="1"/>
    </row>
    <row r="131" spans="1:36" ht="6" customHeight="1" x14ac:dyDescent="0.2">
      <c r="A131" s="1"/>
      <c r="B131" s="2"/>
      <c r="C131" s="1"/>
      <c r="D131" s="43"/>
      <c r="E131" s="44"/>
      <c r="F131" s="45"/>
      <c r="G131" s="44"/>
      <c r="H131" s="45"/>
      <c r="I131" s="44"/>
      <c r="J131" s="45"/>
      <c r="K131" s="46"/>
      <c r="L131" s="43"/>
      <c r="M131" s="44"/>
      <c r="N131" s="45"/>
      <c r="O131" s="47"/>
      <c r="P131" s="45"/>
      <c r="Q131" s="44"/>
      <c r="R131" s="45"/>
      <c r="S131" s="46"/>
      <c r="T131" s="1"/>
    </row>
    <row r="132" spans="1:36" x14ac:dyDescent="0.2">
      <c r="A132" s="1"/>
      <c r="B132" s="23" t="s">
        <v>212</v>
      </c>
      <c r="C132" s="1"/>
      <c r="D132" s="17">
        <f>(17*(10^-8))*((2*D125)/(R116*(10^-5)))</f>
        <v>0.40800000000000003</v>
      </c>
      <c r="E132" s="16" t="s">
        <v>213</v>
      </c>
      <c r="F132" s="18">
        <f>(17*(10^-8))*((2*F125)/(R116*(10^-5)))</f>
        <v>0.40800000000000003</v>
      </c>
      <c r="G132" s="16" t="s">
        <v>213</v>
      </c>
      <c r="H132" s="18">
        <f>(17*(10^-8))*((2*H125)/(R116*(10^-5)))</f>
        <v>0.40800000000000003</v>
      </c>
      <c r="I132" s="16" t="s">
        <v>213</v>
      </c>
      <c r="J132" s="18">
        <f>(17*(10^-8))*((2*J125)/(R116*(10^-5)))</f>
        <v>0.40800000000000003</v>
      </c>
      <c r="K132" s="15" t="s">
        <v>213</v>
      </c>
      <c r="L132" s="17">
        <f>(17*(10^-8))*((2*L125)/(R116*(10^-5)))</f>
        <v>0.40800000000000003</v>
      </c>
      <c r="M132" s="16" t="s">
        <v>213</v>
      </c>
      <c r="N132" s="18">
        <f>(17*(10^-8))*((2*N125)/(R116*(10^-5)))</f>
        <v>0.40800000000000003</v>
      </c>
      <c r="O132" s="13" t="s">
        <v>213</v>
      </c>
      <c r="P132" s="18">
        <f>(17*(10^-8))*((2*P125)/(R116*(10^-5)))</f>
        <v>0.40800000000000003</v>
      </c>
      <c r="Q132" s="16" t="s">
        <v>213</v>
      </c>
      <c r="R132" s="18">
        <f>(17*(10^-8))*((2*R125)/(R116*(10^-5)))</f>
        <v>0.40800000000000003</v>
      </c>
      <c r="S132" s="15" t="s">
        <v>213</v>
      </c>
      <c r="T132" s="1"/>
    </row>
    <row r="133" spans="1:36" x14ac:dyDescent="0.2">
      <c r="A133" s="1"/>
      <c r="B133" s="23" t="s">
        <v>214</v>
      </c>
      <c r="C133" s="1"/>
      <c r="D133" s="19">
        <f>E116*SQRT(2)</f>
        <v>325.26911934581187</v>
      </c>
      <c r="E133" s="16" t="s">
        <v>215</v>
      </c>
      <c r="F133" s="20">
        <f>E116*SQRT(2)</f>
        <v>325.26911934581187</v>
      </c>
      <c r="G133" s="16" t="s">
        <v>215</v>
      </c>
      <c r="H133" s="20">
        <f>E116*SQRT(2)</f>
        <v>325.26911934581187</v>
      </c>
      <c r="I133" s="16" t="s">
        <v>215</v>
      </c>
      <c r="J133" s="20">
        <f>E116*SQRT(2)</f>
        <v>325.26911934581187</v>
      </c>
      <c r="K133" s="15" t="s">
        <v>215</v>
      </c>
      <c r="L133" s="19">
        <f>E116*SQRT(2)</f>
        <v>325.26911934581187</v>
      </c>
      <c r="M133" s="16" t="s">
        <v>215</v>
      </c>
      <c r="N133" s="20">
        <f>E116*SQRT(2)</f>
        <v>325.26911934581187</v>
      </c>
      <c r="O133" s="16" t="s">
        <v>215</v>
      </c>
      <c r="P133" s="20">
        <f>E116*SQRT(2)</f>
        <v>325.26911934581187</v>
      </c>
      <c r="Q133" s="16" t="s">
        <v>215</v>
      </c>
      <c r="R133" s="20">
        <f>E116*SQRT(2)</f>
        <v>325.26911934581187</v>
      </c>
      <c r="S133" s="15" t="s">
        <v>215</v>
      </c>
      <c r="T133" s="1"/>
    </row>
    <row r="134" spans="1:36" x14ac:dyDescent="0.2">
      <c r="A134" s="1"/>
      <c r="B134" s="23" t="s">
        <v>223</v>
      </c>
      <c r="C134" s="1"/>
      <c r="D134" s="12">
        <f>D130*D132</f>
        <v>0.97920000000000007</v>
      </c>
      <c r="E134" s="16" t="s">
        <v>215</v>
      </c>
      <c r="F134" s="14">
        <f>F130*F132</f>
        <v>0.97920000000000007</v>
      </c>
      <c r="G134" s="16" t="s">
        <v>215</v>
      </c>
      <c r="H134" s="14">
        <f>H130*H132</f>
        <v>0.97920000000000007</v>
      </c>
      <c r="I134" s="16" t="s">
        <v>215</v>
      </c>
      <c r="J134" s="14">
        <f>J130*J132</f>
        <v>0.97920000000000007</v>
      </c>
      <c r="K134" s="15" t="s">
        <v>215</v>
      </c>
      <c r="L134" s="12">
        <f>L130*L132</f>
        <v>0.97920000000000007</v>
      </c>
      <c r="M134" s="16" t="s">
        <v>215</v>
      </c>
      <c r="N134" s="14">
        <f>N130*N132</f>
        <v>0.97920000000000007</v>
      </c>
      <c r="O134" s="16" t="s">
        <v>215</v>
      </c>
      <c r="P134" s="14">
        <f>P130*P132</f>
        <v>0.97920000000000007</v>
      </c>
      <c r="Q134" s="16" t="s">
        <v>215</v>
      </c>
      <c r="R134" s="14">
        <f>R130*R132</f>
        <v>0.97920000000000007</v>
      </c>
      <c r="S134" s="15" t="s">
        <v>215</v>
      </c>
      <c r="T134" s="1"/>
    </row>
    <row r="135" spans="1:36" x14ac:dyDescent="0.2">
      <c r="A135" s="1"/>
      <c r="B135" s="23" t="s">
        <v>225</v>
      </c>
      <c r="C135" s="1"/>
      <c r="D135" s="19">
        <f>D133-D134</f>
        <v>324.28991934581188</v>
      </c>
      <c r="E135" s="16" t="s">
        <v>215</v>
      </c>
      <c r="F135" s="20">
        <f>F133-F134</f>
        <v>324.28991934581188</v>
      </c>
      <c r="G135" s="16" t="s">
        <v>215</v>
      </c>
      <c r="H135" s="20">
        <f>H133-H134</f>
        <v>324.28991934581188</v>
      </c>
      <c r="I135" s="16" t="s">
        <v>215</v>
      </c>
      <c r="J135" s="20">
        <f>J133-J134</f>
        <v>324.28991934581188</v>
      </c>
      <c r="K135" s="15" t="s">
        <v>215</v>
      </c>
      <c r="L135" s="19">
        <f>L133-L134</f>
        <v>324.28991934581188</v>
      </c>
      <c r="M135" s="16" t="s">
        <v>215</v>
      </c>
      <c r="N135" s="20">
        <f>N133-N134</f>
        <v>324.28991934581188</v>
      </c>
      <c r="O135" s="16" t="s">
        <v>215</v>
      </c>
      <c r="P135" s="20">
        <f>P133-P134</f>
        <v>324.28991934581188</v>
      </c>
      <c r="Q135" s="16" t="s">
        <v>215</v>
      </c>
      <c r="R135" s="20">
        <f>R133-R134</f>
        <v>324.28991934581188</v>
      </c>
      <c r="S135" s="15" t="s">
        <v>215</v>
      </c>
      <c r="T135" s="1"/>
    </row>
    <row r="136" spans="1:36" ht="17" thickBot="1" x14ac:dyDescent="0.25">
      <c r="A136" s="1"/>
      <c r="B136" s="24" t="s">
        <v>227</v>
      </c>
      <c r="C136" s="1"/>
      <c r="D136" s="141">
        <f>(D134*100)/D133</f>
        <v>0.30104302614689882</v>
      </c>
      <c r="E136" s="21" t="str">
        <f>IF(D136&gt;Data!$AC$27,"&lt;OVER!","% V Pk")</f>
        <v>% V Pk</v>
      </c>
      <c r="F136" s="142">
        <f>(F134*100)/F133</f>
        <v>0.30104302614689882</v>
      </c>
      <c r="G136" s="21" t="str">
        <f>IF(F136&gt;Data!$AC$27,"&lt;OVER!","% V Pk")</f>
        <v>% V Pk</v>
      </c>
      <c r="H136" s="142">
        <f>(H134*100)/H133</f>
        <v>0.30104302614689882</v>
      </c>
      <c r="I136" s="21" t="str">
        <f>IF(H136&gt;Data!$AC$27,"&lt;OVER!","% V Pk")</f>
        <v>% V Pk</v>
      </c>
      <c r="J136" s="142">
        <f>(J134*100)/J133</f>
        <v>0.30104302614689882</v>
      </c>
      <c r="K136" s="21" t="str">
        <f>IF(J136&gt;Data!$AC$27,"&lt;OVER!","% V Pk")</f>
        <v>% V Pk</v>
      </c>
      <c r="L136" s="141">
        <f>(L134*100)/L133</f>
        <v>0.30104302614689882</v>
      </c>
      <c r="M136" s="21" t="str">
        <f>IF(L136&gt;Data!$AC$27,"&lt;OVER!","% V Pk")</f>
        <v>% V Pk</v>
      </c>
      <c r="N136" s="142">
        <f>(N134*100)/N133</f>
        <v>0.30104302614689882</v>
      </c>
      <c r="O136" s="21" t="str">
        <f>IF(N136&gt;Data!$AC$27,"&lt;OVER!","% V Pk")</f>
        <v>% V Pk</v>
      </c>
      <c r="P136" s="142">
        <f>(P134*100)/P133</f>
        <v>0.30104302614689882</v>
      </c>
      <c r="Q136" s="21" t="str">
        <f>IF(P136&gt;Data!$AC$27,"&lt;OVER!","% V Pk")</f>
        <v>% V Pk</v>
      </c>
      <c r="R136" s="142">
        <f>(R134*100)/R133</f>
        <v>0.30104302614689882</v>
      </c>
      <c r="S136" s="22" t="str">
        <f>IF(R136&gt;Data!$AC$27,"&lt;OVER!","% V Pk")</f>
        <v>% V Pk</v>
      </c>
      <c r="T136" s="1"/>
      <c r="U136" s="571" t="s">
        <v>247</v>
      </c>
      <c r="W136" s="89"/>
      <c r="X136" s="90" t="s">
        <v>162</v>
      </c>
      <c r="Y136" s="90" t="s">
        <v>248</v>
      </c>
      <c r="Z136" s="90" t="s">
        <v>249</v>
      </c>
      <c r="AA136" s="90"/>
      <c r="AB136" s="89"/>
      <c r="AC136" s="90" t="s">
        <v>217</v>
      </c>
      <c r="AD136" s="90" t="s">
        <v>218</v>
      </c>
      <c r="AE136" s="90" t="s">
        <v>219</v>
      </c>
      <c r="AF136" s="90" t="s">
        <v>220</v>
      </c>
      <c r="AG136" s="90" t="s">
        <v>221</v>
      </c>
      <c r="AH136" s="90" t="s">
        <v>222</v>
      </c>
      <c r="AI136" s="90" t="s">
        <v>250</v>
      </c>
      <c r="AJ136" s="90" t="s">
        <v>251</v>
      </c>
    </row>
    <row r="137" spans="1:36" x14ac:dyDescent="0.2">
      <c r="A137" s="1"/>
      <c r="B137" s="1"/>
      <c r="C137" s="1"/>
      <c r="D137" s="1"/>
      <c r="E137" s="1"/>
      <c r="F137" s="1"/>
      <c r="G137" s="1"/>
      <c r="H137" s="1"/>
      <c r="I137" s="1"/>
      <c r="J137" s="1"/>
      <c r="K137" s="1"/>
      <c r="L137" s="1"/>
      <c r="M137" s="1"/>
      <c r="N137" s="1"/>
      <c r="O137" s="1"/>
      <c r="P137" s="1"/>
      <c r="Q137" s="1"/>
      <c r="R137" s="1"/>
      <c r="S137" s="1"/>
      <c r="T137" s="1"/>
      <c r="U137" s="571"/>
      <c r="W137" s="89" t="s">
        <v>224</v>
      </c>
      <c r="X137" s="90">
        <f>Data!$AC$6</f>
        <v>32</v>
      </c>
      <c r="Y137" s="90">
        <f>Data!$AC$23</f>
        <v>15</v>
      </c>
      <c r="Z137" s="90">
        <f>Data!$AC$23</f>
        <v>15</v>
      </c>
      <c r="AA137" s="90"/>
      <c r="AB137" s="89" t="s">
        <v>109</v>
      </c>
      <c r="AC137" s="91">
        <f>'EU MDM-832'!D128</f>
        <v>1.1000000000000001</v>
      </c>
      <c r="AD137" s="90">
        <f>'EU MDM-832'!F128</f>
        <v>1.1000000000000001</v>
      </c>
      <c r="AE137" s="90">
        <f>'EU MDM-832'!H128</f>
        <v>1.1000000000000001</v>
      </c>
      <c r="AF137" s="90">
        <f>'EU MDM-832'!J128</f>
        <v>1.1000000000000001</v>
      </c>
      <c r="AG137" s="90">
        <f>'EU MDM-832'!L128</f>
        <v>1.1000000000000001</v>
      </c>
      <c r="AH137" s="90">
        <f>'EU MDM-832'!N128</f>
        <v>1.1000000000000001</v>
      </c>
      <c r="AI137" s="90">
        <f>'EU MDM-832'!P128</f>
        <v>1.1000000000000001</v>
      </c>
      <c r="AJ137" s="90">
        <f>'EU MDM-832'!R128</f>
        <v>1.1000000000000001</v>
      </c>
    </row>
    <row r="138" spans="1:36" x14ac:dyDescent="0.2">
      <c r="A138" s="1"/>
      <c r="B138" s="1"/>
      <c r="C138" s="1"/>
      <c r="D138" s="1"/>
      <c r="E138" s="1"/>
      <c r="F138" s="1"/>
      <c r="G138" s="1"/>
      <c r="H138" s="1"/>
      <c r="I138" s="1"/>
      <c r="J138" s="1"/>
      <c r="K138" s="1"/>
      <c r="L138" s="1"/>
      <c r="M138" s="1"/>
      <c r="N138" s="1"/>
      <c r="O138" s="1"/>
      <c r="P138" s="1"/>
      <c r="Q138" s="1"/>
      <c r="R138" s="1"/>
      <c r="S138" s="1"/>
      <c r="T138" s="1"/>
      <c r="U138" s="571"/>
      <c r="W138" s="89"/>
      <c r="X138" s="90"/>
      <c r="Y138" s="90"/>
      <c r="Z138" s="90"/>
      <c r="AA138" s="90"/>
      <c r="AB138" s="89"/>
      <c r="AC138" s="90"/>
      <c r="AD138" s="90"/>
      <c r="AE138" s="90"/>
      <c r="AF138" s="90"/>
      <c r="AG138" s="90"/>
      <c r="AH138" s="90"/>
      <c r="AI138" s="90"/>
      <c r="AJ138" s="90"/>
    </row>
    <row r="139" spans="1:36" x14ac:dyDescent="0.2">
      <c r="A139" s="1"/>
      <c r="B139" s="1"/>
      <c r="C139" s="1"/>
      <c r="D139" s="1"/>
      <c r="E139" s="1"/>
      <c r="F139" s="1"/>
      <c r="G139" s="1"/>
      <c r="H139" s="1"/>
      <c r="I139" s="1"/>
      <c r="J139" s="1"/>
      <c r="K139" s="1"/>
      <c r="L139" s="1"/>
      <c r="M139" s="1"/>
      <c r="N139" s="1"/>
      <c r="O139" s="1"/>
      <c r="P139" s="1"/>
      <c r="Q139" s="1"/>
      <c r="R139" s="1"/>
      <c r="S139" s="1"/>
      <c r="T139" s="1"/>
      <c r="U139" s="571"/>
      <c r="W139" s="89" t="str">
        <f>'EU MDM-832'!B118</f>
        <v>MLTC + 30%</v>
      </c>
      <c r="X139" s="91">
        <f>'EU MDM-832'!D118</f>
        <v>11.44</v>
      </c>
      <c r="Y139" s="91">
        <f>'EU MDM-832'!H118</f>
        <v>4.4000000000000004</v>
      </c>
      <c r="Z139" s="92">
        <f>'EU MDM-832'!$N118</f>
        <v>4.4000000000000004</v>
      </c>
      <c r="AA139" s="90"/>
      <c r="AB139" s="89"/>
      <c r="AC139" s="90"/>
      <c r="AD139" s="90"/>
      <c r="AE139" s="90"/>
      <c r="AF139" s="90"/>
      <c r="AG139" s="90"/>
      <c r="AH139" s="90"/>
      <c r="AI139" s="90"/>
      <c r="AJ139" s="90"/>
    </row>
    <row r="140" spans="1:36" x14ac:dyDescent="0.2">
      <c r="A140" s="1"/>
      <c r="B140" s="1"/>
      <c r="C140" s="1"/>
      <c r="D140" s="1"/>
      <c r="E140" s="1"/>
      <c r="F140" s="1"/>
      <c r="G140" s="1"/>
      <c r="H140" s="1"/>
      <c r="I140" s="1"/>
      <c r="J140" s="1"/>
      <c r="K140" s="1"/>
      <c r="L140" s="1"/>
      <c r="M140" s="1"/>
      <c r="N140" s="1"/>
      <c r="O140" s="1"/>
      <c r="P140" s="1"/>
      <c r="Q140" s="1"/>
      <c r="R140" s="1"/>
      <c r="S140" s="1"/>
      <c r="T140" s="1"/>
      <c r="U140" s="571"/>
      <c r="W140" s="89" t="str">
        <f>'EU MDM-832'!B119</f>
        <v>Burst RMS</v>
      </c>
      <c r="X140" s="91">
        <f>'EU MDM-832'!D119</f>
        <v>19.2</v>
      </c>
      <c r="Y140" s="91">
        <f>'EU MDM-832'!H119</f>
        <v>9.6</v>
      </c>
      <c r="Z140" s="92">
        <f>'EU MDM-832'!$N119</f>
        <v>9.6</v>
      </c>
      <c r="AA140" s="90"/>
      <c r="AB140" s="89" t="s">
        <v>228</v>
      </c>
      <c r="AC140" s="90">
        <f>(100*AC137)/$Y137</f>
        <v>7.3333333333333339</v>
      </c>
      <c r="AD140" s="90">
        <f>(100*AD137)/$Y137</f>
        <v>7.3333333333333339</v>
      </c>
      <c r="AE140" s="90">
        <f>(100*AE137)/$Y137</f>
        <v>7.3333333333333339</v>
      </c>
      <c r="AF140" s="90">
        <f>(100*AF137)/$Y137</f>
        <v>7.3333333333333339</v>
      </c>
      <c r="AG140" s="90">
        <f>(100*AG137)/$Z137</f>
        <v>7.3333333333333339</v>
      </c>
      <c r="AH140" s="90">
        <f>(100*AH137)/$Z137</f>
        <v>7.3333333333333339</v>
      </c>
      <c r="AI140" s="90">
        <f>(100*AI137)/$Z137</f>
        <v>7.3333333333333339</v>
      </c>
      <c r="AJ140" s="90">
        <f>(100*AJ137)/$Z137</f>
        <v>7.3333333333333339</v>
      </c>
    </row>
    <row r="141" spans="1:36" x14ac:dyDescent="0.2">
      <c r="A141" s="1"/>
      <c r="B141" s="1"/>
      <c r="C141" s="1"/>
      <c r="D141" s="1"/>
      <c r="E141" s="1"/>
      <c r="F141" s="1"/>
      <c r="G141" s="1"/>
      <c r="H141" s="1"/>
      <c r="I141" s="1"/>
      <c r="J141" s="1"/>
      <c r="K141" s="1"/>
      <c r="L141" s="1"/>
      <c r="M141" s="1"/>
      <c r="N141" s="1"/>
      <c r="O141" s="1"/>
      <c r="P141" s="1"/>
      <c r="Q141" s="1"/>
      <c r="R141" s="1"/>
      <c r="S141" s="1"/>
      <c r="T141" s="1"/>
      <c r="U141" s="571"/>
      <c r="W141" s="89" t="str">
        <f>'EU MDM-832'!B120</f>
        <v>Max Inst Pk</v>
      </c>
      <c r="X141" s="91">
        <f>'EU MDM-832'!D120</f>
        <v>19.2</v>
      </c>
      <c r="Y141" s="91">
        <f>'EU MDM-832'!H120</f>
        <v>9.6</v>
      </c>
      <c r="Z141" s="92">
        <f>'EU MDM-832'!$N120</f>
        <v>9.6</v>
      </c>
      <c r="AA141" s="90"/>
      <c r="AB141" s="89" t="s">
        <v>229</v>
      </c>
      <c r="AC141" s="90">
        <f t="shared" ref="AC141:AJ141" si="15">AC140-100</f>
        <v>-92.666666666666671</v>
      </c>
      <c r="AD141" s="90">
        <f t="shared" si="15"/>
        <v>-92.666666666666671</v>
      </c>
      <c r="AE141" s="90">
        <f t="shared" si="15"/>
        <v>-92.666666666666671</v>
      </c>
      <c r="AF141" s="90">
        <f t="shared" si="15"/>
        <v>-92.666666666666671</v>
      </c>
      <c r="AG141" s="90">
        <f t="shared" si="15"/>
        <v>-92.666666666666671</v>
      </c>
      <c r="AH141" s="90">
        <f t="shared" si="15"/>
        <v>-92.666666666666671</v>
      </c>
      <c r="AI141" s="90">
        <f t="shared" si="15"/>
        <v>-92.666666666666671</v>
      </c>
      <c r="AJ141" s="90">
        <f t="shared" si="15"/>
        <v>-92.666666666666671</v>
      </c>
    </row>
    <row r="142" spans="1:36" x14ac:dyDescent="0.2">
      <c r="A142" s="1"/>
      <c r="B142" s="1"/>
      <c r="C142" s="1"/>
      <c r="D142" s="1"/>
      <c r="E142" s="1"/>
      <c r="F142" s="1"/>
      <c r="G142" s="1"/>
      <c r="H142" s="1"/>
      <c r="I142" s="1"/>
      <c r="J142" s="1"/>
      <c r="K142" s="1"/>
      <c r="L142" s="1"/>
      <c r="M142" s="1"/>
      <c r="N142" s="1"/>
      <c r="O142" s="1"/>
      <c r="P142" s="1"/>
      <c r="Q142" s="1"/>
      <c r="R142" s="1"/>
      <c r="S142" s="1"/>
      <c r="T142" s="1"/>
      <c r="U142" s="571"/>
      <c r="W142" s="89" t="s">
        <v>109</v>
      </c>
      <c r="X142" s="91">
        <f>(D128+F128+H128+J128+L128+N128+P128+R128)</f>
        <v>8.7999999999999989</v>
      </c>
      <c r="Y142" s="90"/>
      <c r="Z142" s="90"/>
      <c r="AA142" s="90"/>
      <c r="AB142" s="89" t="s">
        <v>230</v>
      </c>
      <c r="AC142" s="90">
        <f t="shared" ref="AC142:AJ142" si="16">IF(AC141&lt;0,AC140,100)</f>
        <v>7.3333333333333339</v>
      </c>
      <c r="AD142" s="90">
        <f t="shared" si="16"/>
        <v>7.3333333333333339</v>
      </c>
      <c r="AE142" s="90">
        <f t="shared" si="16"/>
        <v>7.3333333333333339</v>
      </c>
      <c r="AF142" s="90">
        <f t="shared" si="16"/>
        <v>7.3333333333333339</v>
      </c>
      <c r="AG142" s="90">
        <f t="shared" si="16"/>
        <v>7.3333333333333339</v>
      </c>
      <c r="AH142" s="90">
        <f t="shared" si="16"/>
        <v>7.3333333333333339</v>
      </c>
      <c r="AI142" s="90">
        <f t="shared" si="16"/>
        <v>7.3333333333333339</v>
      </c>
      <c r="AJ142" s="90">
        <f t="shared" si="16"/>
        <v>7.3333333333333339</v>
      </c>
    </row>
    <row r="143" spans="1:36" x14ac:dyDescent="0.2">
      <c r="A143" s="1"/>
      <c r="B143" s="1"/>
      <c r="C143" s="1"/>
      <c r="D143" s="1"/>
      <c r="E143" s="1"/>
      <c r="F143" s="1"/>
      <c r="G143" s="1"/>
      <c r="H143" s="1"/>
      <c r="I143" s="1"/>
      <c r="J143" s="1"/>
      <c r="K143" s="1"/>
      <c r="L143" s="1"/>
      <c r="M143" s="1"/>
      <c r="N143" s="1"/>
      <c r="O143" s="1"/>
      <c r="P143" s="1"/>
      <c r="Q143" s="1"/>
      <c r="R143" s="1"/>
      <c r="S143" s="1"/>
      <c r="T143" s="1"/>
      <c r="U143" s="571"/>
      <c r="W143" s="89"/>
      <c r="X143" s="90"/>
      <c r="Y143" s="90"/>
      <c r="Z143" s="90"/>
      <c r="AA143" s="90"/>
      <c r="AB143" s="89" t="s">
        <v>231</v>
      </c>
      <c r="AC143" s="90" t="e">
        <f t="shared" ref="AC143:AJ143" si="17">IF(AC140&gt;100,AC140-AC142,NA())</f>
        <v>#N/A</v>
      </c>
      <c r="AD143" s="90" t="e">
        <f t="shared" si="17"/>
        <v>#N/A</v>
      </c>
      <c r="AE143" s="90" t="e">
        <f t="shared" si="17"/>
        <v>#N/A</v>
      </c>
      <c r="AF143" s="90" t="e">
        <f t="shared" si="17"/>
        <v>#N/A</v>
      </c>
      <c r="AG143" s="90" t="e">
        <f t="shared" si="17"/>
        <v>#N/A</v>
      </c>
      <c r="AH143" s="90" t="e">
        <f t="shared" si="17"/>
        <v>#N/A</v>
      </c>
      <c r="AI143" s="90" t="e">
        <f t="shared" si="17"/>
        <v>#N/A</v>
      </c>
      <c r="AJ143" s="90" t="e">
        <f t="shared" si="17"/>
        <v>#N/A</v>
      </c>
    </row>
    <row r="144" spans="1:36" x14ac:dyDescent="0.2">
      <c r="A144" s="1"/>
      <c r="B144" s="1"/>
      <c r="C144" s="1"/>
      <c r="D144" s="1"/>
      <c r="E144" s="1"/>
      <c r="F144" s="1"/>
      <c r="G144" s="1"/>
      <c r="H144" s="1"/>
      <c r="I144" s="1"/>
      <c r="J144" s="1"/>
      <c r="K144" s="1"/>
      <c r="L144" s="1"/>
      <c r="M144" s="1"/>
      <c r="N144" s="1"/>
      <c r="O144" s="1"/>
      <c r="P144" s="1"/>
      <c r="Q144" s="1"/>
      <c r="R144" s="1"/>
      <c r="S144" s="1"/>
      <c r="T144" s="1"/>
      <c r="U144" s="571"/>
      <c r="W144" s="89" t="s">
        <v>228</v>
      </c>
      <c r="X144" s="90">
        <f>(100*X139)/X137</f>
        <v>35.75</v>
      </c>
      <c r="Y144" s="90">
        <f>(100*Y139)/Y137</f>
        <v>29.333333333333336</v>
      </c>
      <c r="Z144" s="90">
        <f>(100*Z139)/Z137</f>
        <v>29.333333333333336</v>
      </c>
      <c r="AA144" s="90"/>
      <c r="AB144" s="89" t="s">
        <v>232</v>
      </c>
      <c r="AC144" s="90">
        <f>Data!$AC$13</f>
        <v>10</v>
      </c>
      <c r="AD144" s="90">
        <f>Data!$AC$13</f>
        <v>10</v>
      </c>
      <c r="AE144" s="90">
        <f>Data!$AC$13</f>
        <v>10</v>
      </c>
      <c r="AF144" s="90">
        <f>Data!$AC$13</f>
        <v>10</v>
      </c>
      <c r="AG144" s="90">
        <f>Data!$AC$13</f>
        <v>10</v>
      </c>
      <c r="AH144" s="90">
        <f>Data!$AC$13</f>
        <v>10</v>
      </c>
      <c r="AI144" s="90">
        <f>Data!$AC$13</f>
        <v>10</v>
      </c>
      <c r="AJ144" s="90">
        <f>Data!$AC$13</f>
        <v>10</v>
      </c>
    </row>
    <row r="145" spans="1:36" x14ac:dyDescent="0.2">
      <c r="A145" s="1"/>
      <c r="B145" s="1"/>
      <c r="C145" s="1"/>
      <c r="D145" s="1"/>
      <c r="E145" s="1"/>
      <c r="F145" s="1"/>
      <c r="G145" s="1"/>
      <c r="H145" s="1"/>
      <c r="I145" s="1"/>
      <c r="J145" s="1"/>
      <c r="K145" s="1"/>
      <c r="L145" s="1"/>
      <c r="M145" s="1"/>
      <c r="N145" s="1"/>
      <c r="O145" s="1"/>
      <c r="P145" s="1"/>
      <c r="Q145" s="1"/>
      <c r="R145" s="1"/>
      <c r="S145" s="1"/>
      <c r="T145" s="1"/>
      <c r="U145" s="571"/>
      <c r="W145" s="89" t="s">
        <v>229</v>
      </c>
      <c r="X145" s="90">
        <f>X144-100</f>
        <v>-64.25</v>
      </c>
      <c r="Y145" s="90">
        <f>Y144-100</f>
        <v>-70.666666666666657</v>
      </c>
      <c r="Z145" s="90">
        <f>Z144-100</f>
        <v>-70.666666666666657</v>
      </c>
      <c r="AA145" s="90"/>
      <c r="AB145" s="89" t="s">
        <v>233</v>
      </c>
      <c r="AC145" s="92">
        <f>-'EU MDM-832'!$D136</f>
        <v>-0.30104302614689882</v>
      </c>
      <c r="AD145" s="92">
        <f>-'EU MDM-832'!$F136</f>
        <v>-0.30104302614689882</v>
      </c>
      <c r="AE145" s="92">
        <f>-'EU MDM-832'!$H136</f>
        <v>-0.30104302614689882</v>
      </c>
      <c r="AF145" s="92">
        <f>-'EU MDM-832'!$J136</f>
        <v>-0.30104302614689882</v>
      </c>
      <c r="AG145" s="92">
        <f>-'EU MDM-832'!$L136</f>
        <v>-0.30104302614689882</v>
      </c>
      <c r="AH145" s="92">
        <f>-'EU MDM-832'!$N136</f>
        <v>-0.30104302614689882</v>
      </c>
      <c r="AI145" s="92">
        <f>-'EU MDM-832'!$P136</f>
        <v>-0.30104302614689882</v>
      </c>
      <c r="AJ145" s="92">
        <f>-'EU MDM-832'!$R136</f>
        <v>-0.30104302614689882</v>
      </c>
    </row>
    <row r="146" spans="1:36" x14ac:dyDescent="0.2">
      <c r="A146" s="1"/>
      <c r="B146" s="1"/>
      <c r="C146" s="1"/>
      <c r="D146" s="1"/>
      <c r="E146" s="1"/>
      <c r="F146" s="1"/>
      <c r="G146" s="1"/>
      <c r="H146" s="1"/>
      <c r="I146" s="1"/>
      <c r="J146" s="1"/>
      <c r="K146" s="1"/>
      <c r="L146" s="1"/>
      <c r="M146" s="1"/>
      <c r="N146" s="1"/>
      <c r="O146" s="1"/>
      <c r="P146" s="1"/>
      <c r="Q146" s="1"/>
      <c r="R146" s="1"/>
      <c r="S146" s="1"/>
      <c r="T146" s="1"/>
      <c r="U146" s="571"/>
      <c r="W146" s="89" t="s">
        <v>230</v>
      </c>
      <c r="X146" s="90">
        <f>IF(X145&lt;0,X144,100)</f>
        <v>35.75</v>
      </c>
      <c r="Y146" s="90">
        <f>IF(Y145&lt;0,Y144,100)</f>
        <v>29.333333333333336</v>
      </c>
      <c r="Z146" s="90">
        <f>IF(Z145&lt;0,Z144,100)</f>
        <v>29.333333333333336</v>
      </c>
      <c r="AA146" s="90"/>
      <c r="AB146" s="89" t="s">
        <v>234</v>
      </c>
      <c r="AC146" s="90">
        <f t="shared" ref="AC146:AJ146" si="18">IF(AC145&gt;-AC144,AC145,-AC144)</f>
        <v>-0.30104302614689882</v>
      </c>
      <c r="AD146" s="90">
        <f t="shared" si="18"/>
        <v>-0.30104302614689882</v>
      </c>
      <c r="AE146" s="90">
        <f t="shared" si="18"/>
        <v>-0.30104302614689882</v>
      </c>
      <c r="AF146" s="90">
        <f t="shared" si="18"/>
        <v>-0.30104302614689882</v>
      </c>
      <c r="AG146" s="90">
        <f t="shared" si="18"/>
        <v>-0.30104302614689882</v>
      </c>
      <c r="AH146" s="90">
        <f t="shared" si="18"/>
        <v>-0.30104302614689882</v>
      </c>
      <c r="AI146" s="90">
        <f t="shared" si="18"/>
        <v>-0.30104302614689882</v>
      </c>
      <c r="AJ146" s="90">
        <f t="shared" si="18"/>
        <v>-0.30104302614689882</v>
      </c>
    </row>
    <row r="147" spans="1:36" x14ac:dyDescent="0.2">
      <c r="A147" s="1"/>
      <c r="B147" s="1"/>
      <c r="C147" s="1"/>
      <c r="D147" s="1"/>
      <c r="E147" s="1"/>
      <c r="F147" s="1"/>
      <c r="G147" s="1"/>
      <c r="H147" s="1"/>
      <c r="I147" s="1"/>
      <c r="J147" s="1"/>
      <c r="K147" s="1"/>
      <c r="L147" s="1"/>
      <c r="M147" s="1"/>
      <c r="N147" s="1"/>
      <c r="O147" s="1"/>
      <c r="P147" s="1"/>
      <c r="Q147" s="1"/>
      <c r="R147" s="1"/>
      <c r="S147" s="1"/>
      <c r="T147" s="1"/>
      <c r="U147" s="571"/>
      <c r="W147" s="89" t="s">
        <v>231</v>
      </c>
      <c r="X147" s="90" t="e">
        <f>IF(X144&gt;100,X144-X146,NA())</f>
        <v>#N/A</v>
      </c>
      <c r="Y147" s="90" t="e">
        <f>IF(Y144&gt;100,Y144-Y146,NA())</f>
        <v>#N/A</v>
      </c>
      <c r="Z147" s="90" t="e">
        <f>IF(Z144&gt;100,Z144-Z146,NA())</f>
        <v>#N/A</v>
      </c>
      <c r="AA147" s="90"/>
      <c r="AB147" s="89" t="s">
        <v>235</v>
      </c>
      <c r="AC147" s="90" t="e">
        <f t="shared" ref="AC147:AJ147" si="19">IF(AC145&gt;-AC144,NA(),AC145+AC144)</f>
        <v>#N/A</v>
      </c>
      <c r="AD147" s="90" t="e">
        <f t="shared" si="19"/>
        <v>#N/A</v>
      </c>
      <c r="AE147" s="90" t="e">
        <f t="shared" si="19"/>
        <v>#N/A</v>
      </c>
      <c r="AF147" s="90" t="e">
        <f t="shared" si="19"/>
        <v>#N/A</v>
      </c>
      <c r="AG147" s="90" t="e">
        <f t="shared" si="19"/>
        <v>#N/A</v>
      </c>
      <c r="AH147" s="90" t="e">
        <f t="shared" si="19"/>
        <v>#N/A</v>
      </c>
      <c r="AI147" s="90" t="e">
        <f t="shared" si="19"/>
        <v>#N/A</v>
      </c>
      <c r="AJ147" s="90" t="e">
        <f t="shared" si="19"/>
        <v>#N/A</v>
      </c>
    </row>
    <row r="148" spans="1:36" x14ac:dyDescent="0.2">
      <c r="A148" s="1"/>
      <c r="B148" s="1"/>
      <c r="C148" s="1"/>
      <c r="D148" s="1"/>
      <c r="E148" s="1"/>
      <c r="F148" s="1"/>
      <c r="G148" s="1"/>
      <c r="H148" s="1"/>
      <c r="I148" s="1"/>
      <c r="J148" s="1"/>
      <c r="K148" s="1"/>
      <c r="L148" s="1"/>
      <c r="M148" s="1"/>
      <c r="N148" s="1"/>
      <c r="O148" s="1"/>
      <c r="P148" s="1"/>
      <c r="Q148" s="1"/>
      <c r="R148" s="1"/>
      <c r="S148" s="1"/>
      <c r="T148" s="1"/>
      <c r="U148" s="571"/>
      <c r="W148" s="89"/>
      <c r="X148" s="90"/>
      <c r="Y148" s="90"/>
      <c r="Z148" s="90"/>
      <c r="AA148" s="90"/>
      <c r="AB148" s="89"/>
    </row>
    <row r="149" spans="1:36" x14ac:dyDescent="0.2">
      <c r="A149" s="1"/>
      <c r="B149" s="1"/>
      <c r="C149" s="1"/>
      <c r="D149" s="1"/>
      <c r="E149" s="1"/>
      <c r="F149" s="1"/>
      <c r="G149" s="1"/>
      <c r="H149" s="1"/>
      <c r="I149" s="1"/>
      <c r="J149" s="1"/>
      <c r="K149" s="1"/>
      <c r="L149" s="1"/>
      <c r="M149" s="1"/>
      <c r="N149" s="1"/>
      <c r="O149" s="1"/>
      <c r="P149" s="1"/>
      <c r="Q149" s="1"/>
      <c r="R149" s="1"/>
      <c r="S149" s="1"/>
      <c r="T149" s="1"/>
      <c r="U149" s="571"/>
      <c r="W149" s="89"/>
      <c r="X149" s="90"/>
      <c r="Y149" s="90"/>
      <c r="Z149" s="90"/>
      <c r="AA149" s="90"/>
      <c r="AB149" s="89"/>
    </row>
    <row r="150" spans="1:36" x14ac:dyDescent="0.2">
      <c r="A150" s="1"/>
      <c r="B150" s="1"/>
      <c r="C150" s="1"/>
      <c r="D150" s="1"/>
      <c r="E150" s="1"/>
      <c r="F150" s="1"/>
      <c r="G150" s="1"/>
      <c r="H150" s="1"/>
      <c r="I150" s="1"/>
      <c r="J150" s="1"/>
      <c r="K150" s="1"/>
      <c r="L150" s="1"/>
      <c r="M150" s="1"/>
      <c r="N150" s="1"/>
      <c r="O150" s="1"/>
      <c r="P150" s="1"/>
      <c r="Q150" s="1"/>
      <c r="R150" s="1"/>
      <c r="S150" s="1"/>
      <c r="T150" s="1"/>
      <c r="U150" s="571"/>
      <c r="W150" s="89"/>
      <c r="X150" s="90"/>
      <c r="Y150" s="90"/>
      <c r="Z150" s="90"/>
      <c r="AA150" s="90"/>
      <c r="AB150" s="89"/>
    </row>
    <row r="151" spans="1:36" x14ac:dyDescent="0.2">
      <c r="A151" s="1"/>
      <c r="B151" s="1"/>
      <c r="C151" s="1"/>
      <c r="D151" s="1"/>
      <c r="E151" s="1"/>
      <c r="F151" s="1"/>
      <c r="G151" s="1"/>
      <c r="H151" s="1"/>
      <c r="I151" s="1"/>
      <c r="J151" s="1"/>
      <c r="K151" s="1"/>
      <c r="L151" s="1"/>
      <c r="M151" s="1"/>
      <c r="N151" s="1"/>
      <c r="O151" s="1"/>
      <c r="P151" s="1"/>
      <c r="Q151" s="1"/>
      <c r="R151" s="1"/>
      <c r="S151" s="1"/>
      <c r="T151" s="1"/>
      <c r="U151" s="571"/>
      <c r="W151" s="89"/>
      <c r="X151" s="90"/>
      <c r="Y151" s="90"/>
      <c r="Z151" s="90"/>
      <c r="AA151" s="90"/>
      <c r="AB151" s="89"/>
    </row>
    <row r="152" spans="1:36" ht="17" thickBot="1" x14ac:dyDescent="0.25">
      <c r="A152" s="160"/>
      <c r="B152" s="168" t="str">
        <f>Data!$T$1</f>
        <v>Meyer Sound Laboratories, Inc. Berkeley, California, USA                                 www.meyersound.com</v>
      </c>
      <c r="C152" s="160"/>
      <c r="D152" s="160"/>
      <c r="E152" s="160"/>
      <c r="F152" s="160"/>
      <c r="G152" s="160"/>
      <c r="H152" s="160"/>
      <c r="I152" s="160"/>
      <c r="J152" s="160"/>
      <c r="K152" s="160"/>
      <c r="L152" s="160"/>
      <c r="M152" s="160"/>
      <c r="N152" s="160"/>
      <c r="O152" s="160"/>
      <c r="P152" s="160"/>
      <c r="Q152" s="160"/>
      <c r="R152" s="160"/>
      <c r="S152" s="160"/>
      <c r="T152" s="126" t="str">
        <f>Data!$G$1</f>
        <v>© 2021</v>
      </c>
      <c r="U152" s="571"/>
    </row>
    <row r="153" spans="1:36" ht="17" thickBot="1" x14ac:dyDescent="0.25">
      <c r="A153" s="1"/>
      <c r="B153" s="1"/>
      <c r="C153" s="1"/>
      <c r="D153" s="1"/>
      <c r="E153" s="1"/>
      <c r="F153" s="1"/>
      <c r="G153" s="1"/>
      <c r="H153" s="1"/>
      <c r="I153" s="1"/>
      <c r="J153" s="1"/>
      <c r="K153" s="1"/>
      <c r="L153" s="1"/>
      <c r="M153" s="1"/>
      <c r="N153" s="1"/>
      <c r="O153" s="1"/>
      <c r="P153" s="1"/>
      <c r="Q153" s="1"/>
      <c r="R153" s="1"/>
      <c r="S153" s="126" t="str">
        <f>Data!$M$1</f>
        <v>06.257.005.01 C</v>
      </c>
      <c r="T153" s="1"/>
    </row>
    <row r="154" spans="1:36" x14ac:dyDescent="0.2">
      <c r="A154" s="1"/>
      <c r="B154" s="10" t="s">
        <v>192</v>
      </c>
      <c r="C154" s="1"/>
      <c r="D154" s="11" t="s">
        <v>239</v>
      </c>
      <c r="E154" s="154">
        <f>'Master EU'!$N$5</f>
        <v>230</v>
      </c>
      <c r="F154" s="1"/>
      <c r="G154" s="1"/>
      <c r="H154" s="572" t="s">
        <v>240</v>
      </c>
      <c r="I154" s="573"/>
      <c r="J154" s="7"/>
      <c r="K154" s="55"/>
      <c r="L154" s="1"/>
      <c r="M154" s="1"/>
      <c r="N154" s="53" t="s">
        <v>241</v>
      </c>
      <c r="O154" s="54"/>
      <c r="P154" s="27" t="s">
        <v>194</v>
      </c>
      <c r="Q154" s="27"/>
      <c r="R154" s="31">
        <v>2.5</v>
      </c>
      <c r="S154" s="30" t="s">
        <v>107</v>
      </c>
      <c r="T154" s="1"/>
    </row>
    <row r="155" spans="1:36" ht="5" customHeight="1" x14ac:dyDescent="0.25">
      <c r="A155" s="1"/>
      <c r="B155" s="2"/>
      <c r="C155" s="1"/>
      <c r="D155" s="5"/>
      <c r="E155" s="7"/>
      <c r="F155" s="1"/>
      <c r="G155" s="8"/>
      <c r="H155" s="56"/>
      <c r="I155" s="57"/>
      <c r="J155" s="1"/>
      <c r="K155" s="1"/>
      <c r="L155" s="7"/>
      <c r="M155" s="8"/>
      <c r="N155" s="58"/>
      <c r="O155" s="59"/>
      <c r="P155" s="1"/>
      <c r="Q155" s="1"/>
      <c r="R155" s="1"/>
      <c r="S155" s="1"/>
      <c r="T155" s="1"/>
    </row>
    <row r="156" spans="1:36" ht="15" customHeight="1" x14ac:dyDescent="0.2">
      <c r="A156" s="1"/>
      <c r="B156" s="23" t="str">
        <f>_xlfn.TEXTJOIN("",FALSE,"MLTC + ",'Master EU'!D11,"%")</f>
        <v>MLTC + 30%</v>
      </c>
      <c r="C156" s="1"/>
      <c r="D156" s="25">
        <f>(D166+F166+H166+J166+L166+N166+P166+R166)*(1+('Master EU'!D11/100))</f>
        <v>11.44</v>
      </c>
      <c r="E156" s="13" t="str">
        <f>IF(D156&gt;Data!$AC$22,"&lt;OVER!","A RMS")</f>
        <v>A RMS</v>
      </c>
      <c r="F156" s="9"/>
      <c r="G156" s="7"/>
      <c r="H156" s="48">
        <f>D166+F166+H166+J166</f>
        <v>4.4000000000000004</v>
      </c>
      <c r="I156" s="49" t="str">
        <f>IF(H156&gt;Data!$AC$23,"&lt;OVER!","A RMS")</f>
        <v>A RMS</v>
      </c>
      <c r="J156" s="574" t="s">
        <v>109</v>
      </c>
      <c r="K156" s="575"/>
      <c r="L156" s="575"/>
      <c r="M156" s="576"/>
      <c r="N156" s="48">
        <f>L166+N166+P166+R166</f>
        <v>4.4000000000000004</v>
      </c>
      <c r="O156" s="49" t="str">
        <f>IF(N156&gt;Data!$AC$23,"&lt;OVER!","A RMS")</f>
        <v>A RMS</v>
      </c>
      <c r="P156" s="1"/>
      <c r="Q156" s="562" t="str">
        <f>IF('EU MDM-832'!W166&gt;0,"N O !","O K")</f>
        <v>O K</v>
      </c>
      <c r="R156" s="563"/>
      <c r="S156" s="568">
        <v>5</v>
      </c>
      <c r="T156" s="569"/>
    </row>
    <row r="157" spans="1:36" ht="15" customHeight="1" x14ac:dyDescent="0.2">
      <c r="A157" s="1"/>
      <c r="B157" s="23" t="s">
        <v>199</v>
      </c>
      <c r="C157" s="1"/>
      <c r="D157" s="25">
        <f>(D167+F167+H167+J167+L167+N167+P167+R167)</f>
        <v>19.2</v>
      </c>
      <c r="E157" s="13" t="s">
        <v>116</v>
      </c>
      <c r="F157" s="9"/>
      <c r="G157" s="7"/>
      <c r="H157" s="48">
        <f>D167+F167+H167+J167</f>
        <v>9.6</v>
      </c>
      <c r="I157" s="50" t="s">
        <v>243</v>
      </c>
      <c r="J157" s="577" t="s">
        <v>110</v>
      </c>
      <c r="K157" s="578"/>
      <c r="L157" s="578"/>
      <c r="M157" s="579"/>
      <c r="N157" s="48">
        <f>L167+N167+P167+R167</f>
        <v>9.6</v>
      </c>
      <c r="O157" s="50" t="s">
        <v>243</v>
      </c>
      <c r="P157" s="1"/>
      <c r="Q157" s="564"/>
      <c r="R157" s="565"/>
      <c r="S157" s="568"/>
      <c r="T157" s="569"/>
    </row>
    <row r="158" spans="1:36" ht="15" customHeight="1" thickBot="1" x14ac:dyDescent="0.25">
      <c r="A158" s="1"/>
      <c r="B158" s="24" t="s">
        <v>200</v>
      </c>
      <c r="C158" s="1"/>
      <c r="D158" s="26">
        <f>(D168+F168+H168+J168+L168+N168+P168+R168)</f>
        <v>19.2</v>
      </c>
      <c r="E158" s="60" t="s">
        <v>117</v>
      </c>
      <c r="F158" s="9"/>
      <c r="G158" s="7"/>
      <c r="H158" s="51">
        <f>D168+F168+H168+J168</f>
        <v>9.6</v>
      </c>
      <c r="I158" s="52" t="str">
        <f>IF(H158&gt;Data!$AC$24,"&lt;OVER!","A Pk")</f>
        <v>A Pk</v>
      </c>
      <c r="J158" s="577" t="s">
        <v>200</v>
      </c>
      <c r="K158" s="578"/>
      <c r="L158" s="578"/>
      <c r="M158" s="579"/>
      <c r="N158" s="51">
        <f>L168+N168+P168+R168</f>
        <v>9.6</v>
      </c>
      <c r="O158" s="52" t="str">
        <f>IF(N158&gt;Data!$AC$24,"&lt;OVER!","A Pk")</f>
        <v>A Pk</v>
      </c>
      <c r="P158" s="1"/>
      <c r="Q158" s="566"/>
      <c r="R158" s="567"/>
      <c r="S158" s="568"/>
      <c r="T158" s="569"/>
    </row>
    <row r="159" spans="1:36" ht="8" customHeight="1" thickBot="1" x14ac:dyDescent="0.25">
      <c r="A159" s="1"/>
      <c r="B159" s="1"/>
      <c r="C159" s="1"/>
      <c r="D159" s="1"/>
      <c r="E159" s="1"/>
      <c r="F159" s="1"/>
      <c r="G159" s="1"/>
      <c r="H159" s="1"/>
      <c r="I159" s="1"/>
      <c r="J159" s="1"/>
      <c r="K159" s="1"/>
      <c r="L159" s="1"/>
      <c r="M159" s="1"/>
      <c r="N159" s="1"/>
      <c r="O159" s="1"/>
      <c r="P159" s="1"/>
      <c r="Q159" s="1"/>
      <c r="R159" s="1"/>
      <c r="S159" s="1"/>
      <c r="T159" s="1"/>
    </row>
    <row r="160" spans="1:36" x14ac:dyDescent="0.2">
      <c r="A160" s="1"/>
      <c r="B160" s="10" t="s">
        <v>203</v>
      </c>
      <c r="C160" s="1"/>
      <c r="D160" s="560">
        <v>1</v>
      </c>
      <c r="E160" s="561"/>
      <c r="F160" s="553">
        <v>2</v>
      </c>
      <c r="G160" s="561"/>
      <c r="H160" s="553">
        <v>3</v>
      </c>
      <c r="I160" s="561"/>
      <c r="J160" s="553">
        <v>4</v>
      </c>
      <c r="K160" s="554"/>
      <c r="L160" s="560">
        <v>5</v>
      </c>
      <c r="M160" s="561"/>
      <c r="N160" s="553">
        <v>6</v>
      </c>
      <c r="O160" s="561"/>
      <c r="P160" s="553">
        <v>7</v>
      </c>
      <c r="Q160" s="561"/>
      <c r="R160" s="553">
        <v>8</v>
      </c>
      <c r="S160" s="554"/>
      <c r="T160" s="1"/>
      <c r="V160" t="s">
        <v>244</v>
      </c>
    </row>
    <row r="161" spans="1:36" x14ac:dyDescent="0.2">
      <c r="A161" s="1"/>
      <c r="B161" s="23" t="s">
        <v>205</v>
      </c>
      <c r="C161" s="1"/>
      <c r="D161" s="61" t="s">
        <v>246</v>
      </c>
      <c r="E161" s="62">
        <v>1</v>
      </c>
      <c r="F161" s="63" t="s">
        <v>246</v>
      </c>
      <c r="G161" s="62">
        <v>1</v>
      </c>
      <c r="H161" s="63" t="s">
        <v>246</v>
      </c>
      <c r="I161" s="62">
        <v>1</v>
      </c>
      <c r="J161" s="63" t="s">
        <v>246</v>
      </c>
      <c r="K161" s="64">
        <v>1</v>
      </c>
      <c r="L161" s="61" t="s">
        <v>246</v>
      </c>
      <c r="M161" s="62">
        <v>1</v>
      </c>
      <c r="N161" s="63" t="s">
        <v>246</v>
      </c>
      <c r="O161" s="62">
        <v>1</v>
      </c>
      <c r="P161" s="63" t="s">
        <v>246</v>
      </c>
      <c r="Q161" s="62">
        <v>1</v>
      </c>
      <c r="R161" s="63" t="s">
        <v>246</v>
      </c>
      <c r="S161" s="64">
        <v>1</v>
      </c>
      <c r="T161" s="1"/>
      <c r="V161" t="s">
        <v>162</v>
      </c>
      <c r="W161">
        <f>IF('EU MDM-832'!D156&gt;Data!$AC$22,1,0)</f>
        <v>0</v>
      </c>
    </row>
    <row r="162" spans="1:36" x14ac:dyDescent="0.2">
      <c r="A162" s="1"/>
      <c r="B162" s="23" t="s">
        <v>205</v>
      </c>
      <c r="C162" s="1"/>
      <c r="D162" s="65" t="s">
        <v>127</v>
      </c>
      <c r="E162" s="62">
        <v>0</v>
      </c>
      <c r="F162" s="66" t="s">
        <v>127</v>
      </c>
      <c r="G162" s="62">
        <v>0</v>
      </c>
      <c r="H162" s="66" t="s">
        <v>127</v>
      </c>
      <c r="I162" s="62">
        <v>0</v>
      </c>
      <c r="J162" s="66" t="s">
        <v>127</v>
      </c>
      <c r="K162" s="64">
        <v>0</v>
      </c>
      <c r="L162" s="65" t="s">
        <v>127</v>
      </c>
      <c r="M162" s="62">
        <v>0</v>
      </c>
      <c r="N162" s="66" t="s">
        <v>127</v>
      </c>
      <c r="O162" s="62">
        <v>0</v>
      </c>
      <c r="P162" s="66" t="s">
        <v>127</v>
      </c>
      <c r="Q162" s="62">
        <v>0</v>
      </c>
      <c r="R162" s="66" t="s">
        <v>127</v>
      </c>
      <c r="S162" s="64">
        <v>0</v>
      </c>
      <c r="T162" s="1"/>
      <c r="V162" t="s">
        <v>201</v>
      </c>
      <c r="W162">
        <f>IF(OR('EU MDM-832'!H156&gt;Data!$AC$23,'EU MDM-832'!N156&gt;Data!$AC$23,),1,0)</f>
        <v>0</v>
      </c>
    </row>
    <row r="163" spans="1:36" x14ac:dyDescent="0.2">
      <c r="A163" s="1"/>
      <c r="B163" s="23" t="s">
        <v>121</v>
      </c>
      <c r="C163" s="1"/>
      <c r="D163" s="68">
        <v>30</v>
      </c>
      <c r="E163" s="29" t="s">
        <v>209</v>
      </c>
      <c r="F163" s="67">
        <v>30</v>
      </c>
      <c r="G163" s="29" t="s">
        <v>209</v>
      </c>
      <c r="H163" s="67">
        <v>30</v>
      </c>
      <c r="I163" s="29" t="s">
        <v>209</v>
      </c>
      <c r="J163" s="67">
        <v>30</v>
      </c>
      <c r="K163" s="28" t="s">
        <v>209</v>
      </c>
      <c r="L163" s="68">
        <v>30</v>
      </c>
      <c r="M163" s="29" t="s">
        <v>209</v>
      </c>
      <c r="N163" s="67">
        <v>30</v>
      </c>
      <c r="O163" s="29" t="s">
        <v>209</v>
      </c>
      <c r="P163" s="67">
        <v>30</v>
      </c>
      <c r="Q163" s="29" t="s">
        <v>209</v>
      </c>
      <c r="R163" s="67">
        <v>30</v>
      </c>
      <c r="S163" s="28" t="s">
        <v>209</v>
      </c>
      <c r="T163" s="1"/>
      <c r="V163" t="s">
        <v>202</v>
      </c>
      <c r="W163">
        <f>IF(OR('EU MDM-832'!H158&gt;Data!$AC$24,'EU MDM-832'!N158&gt;Data!$AC$24,),1,0)</f>
        <v>0</v>
      </c>
    </row>
    <row r="164" spans="1:36" ht="11" customHeight="1" x14ac:dyDescent="0.2">
      <c r="A164" s="1"/>
      <c r="B164" s="2"/>
      <c r="C164" s="1"/>
      <c r="D164" s="555" t="s">
        <v>210</v>
      </c>
      <c r="E164" s="556"/>
      <c r="F164" s="556"/>
      <c r="G164" s="556"/>
      <c r="H164" s="556"/>
      <c r="I164" s="556"/>
      <c r="J164" s="556"/>
      <c r="K164" s="558"/>
      <c r="L164" s="555" t="s">
        <v>210</v>
      </c>
      <c r="M164" s="556"/>
      <c r="N164" s="556"/>
      <c r="O164" s="556"/>
      <c r="P164" s="556"/>
      <c r="Q164" s="556"/>
      <c r="R164" s="556"/>
      <c r="S164" s="558"/>
      <c r="T164" s="1"/>
      <c r="V164" t="s">
        <v>204</v>
      </c>
      <c r="W164">
        <f>IF(OR('EU MDM-832'!D174&gt;Data!$AC$27,'EU MDM-832'!F174&gt;Data!$AC$27,'EU MDM-832'!H174&gt;Data!$AC$27,'EU MDM-832'!J174&gt;Data!$AC$27,'EU MDM-832'!L174&gt;Data!$AC$27,'EU MDM-832'!N174&gt;Data!$AC$27,'EU MDM-832'!P174&gt;Data!$AC$27,'EU MDM-832'!R174&gt;Data!$AC$27),1,0)</f>
        <v>0</v>
      </c>
    </row>
    <row r="165" spans="1:36" ht="6" customHeight="1" x14ac:dyDescent="0.2">
      <c r="A165" s="1"/>
      <c r="B165" s="2"/>
      <c r="C165" s="1"/>
      <c r="D165" s="3"/>
      <c r="E165" s="4"/>
      <c r="F165" s="5"/>
      <c r="G165" s="4"/>
      <c r="H165" s="5"/>
      <c r="I165" s="4"/>
      <c r="J165" s="5"/>
      <c r="K165" s="6"/>
      <c r="L165" s="3"/>
      <c r="M165" s="4"/>
      <c r="N165" s="5"/>
      <c r="O165" s="4"/>
      <c r="P165" s="5"/>
      <c r="Q165" s="4"/>
      <c r="R165" s="5"/>
      <c r="S165" s="6"/>
      <c r="T165" s="1"/>
    </row>
    <row r="166" spans="1:36" x14ac:dyDescent="0.2">
      <c r="A166" s="1"/>
      <c r="B166" s="23" t="s">
        <v>211</v>
      </c>
      <c r="C166" s="1"/>
      <c r="D166" s="12">
        <f>(((VLOOKUP(D161,Data!$R$4:$U$62,2,FALSE)*E161)+(VLOOKUP(D162,Data!$R$4:$U$62,2,FALSE)*E162))/E154)*Data!$R$3</f>
        <v>1.1000000000000001</v>
      </c>
      <c r="E166" s="13" t="str">
        <f>IF(H156&gt;Data!$AC$23,"&lt;&lt;&lt;","A RMS")</f>
        <v>A RMS</v>
      </c>
      <c r="F166" s="14">
        <f>(((VLOOKUP(F161,Data!$R$4:$U$62,2,FALSE)*G161)+(VLOOKUP(F162,Data!$R$4:$U$62,2,FALSE)*G162))/E154)*Data!$R$3</f>
        <v>1.1000000000000001</v>
      </c>
      <c r="G166" s="13" t="str">
        <f>IF(H156&gt;Data!$AC$23,"&lt;&lt;&lt;","A RMS")</f>
        <v>A RMS</v>
      </c>
      <c r="H166" s="14">
        <f>(((VLOOKUP(H161,Data!$R$4:$U$62,2,FALSE)*I161)+(VLOOKUP(H162,Data!$R$4:$U$62,2,FALSE)*I162))/E154)*Data!$R$3</f>
        <v>1.1000000000000001</v>
      </c>
      <c r="I166" s="13" t="str">
        <f>IF(H156&gt;Data!$AC$23,"&lt;&lt;&lt;","A RMS")</f>
        <v>A RMS</v>
      </c>
      <c r="J166" s="14">
        <f>(((VLOOKUP(J161,Data!$R$4:$U$62,2,FALSE)*K161)+(VLOOKUP(J162,Data!$R$4:$U$62,2,FALSE)*K162))/E154)*Data!$R$3</f>
        <v>1.1000000000000001</v>
      </c>
      <c r="K166" s="15" t="str">
        <f>IF(H156&gt;Data!$AC$23,"&lt;&lt;&lt;","A RMS")</f>
        <v>A RMS</v>
      </c>
      <c r="L166" s="12">
        <f>(((VLOOKUP(L161,Data!$R$4:$U$62,2,FALSE)*M161)+(VLOOKUP(L162,Data!$R$4:$U$62,2,FALSE)*M162))/E154)*Data!$R$3</f>
        <v>1.1000000000000001</v>
      </c>
      <c r="M166" s="13" t="str">
        <f>IF(N156&gt;Data!$AC$23,"&lt;&lt;&lt;","A RMS")</f>
        <v>A RMS</v>
      </c>
      <c r="N166" s="14">
        <f>(((VLOOKUP(N161,Data!$R$4:$U$62,2,FALSE)*O161)+(VLOOKUP(N162,Data!$R$4:$U$62,2,FALSE)*O162))/E154)*Data!$R$3</f>
        <v>1.1000000000000001</v>
      </c>
      <c r="O166" s="13" t="str">
        <f>IF(N156&gt;Data!$AC$23,"&lt;&lt;&lt;","A RMS")</f>
        <v>A RMS</v>
      </c>
      <c r="P166" s="14">
        <f>(((VLOOKUP(P161,Data!$R$4:$U$62,2,FALSE)*Q161)+(VLOOKUP(P162,Data!$R$4:$U$62,2,FALSE)*Q162))/E154)*Data!$R$3</f>
        <v>1.1000000000000001</v>
      </c>
      <c r="Q166" s="13" t="str">
        <f>IF(N156&gt;Data!$AC$23,"&lt;&lt;&lt;","A RMS")</f>
        <v>A RMS</v>
      </c>
      <c r="R166" s="14">
        <f>(((VLOOKUP(R161,Data!$R$4:$U$62,2,FALSE)*S161)+(VLOOKUP(R162,Data!$R$4:$U$62,2,FALSE)*S162))/E154)*Data!$R$3</f>
        <v>1.1000000000000001</v>
      </c>
      <c r="S166" s="15" t="str">
        <f>IF(N156&gt;Data!$AC$23,"&lt;&lt;&lt;","A RMS")</f>
        <v>A RMS</v>
      </c>
      <c r="T166" s="1"/>
      <c r="V166" t="s">
        <v>208</v>
      </c>
      <c r="W166">
        <f>SUM(W161:W164)</f>
        <v>0</v>
      </c>
    </row>
    <row r="167" spans="1:36" x14ac:dyDescent="0.2">
      <c r="A167" s="1"/>
      <c r="B167" s="23" t="s">
        <v>199</v>
      </c>
      <c r="C167" s="1"/>
      <c r="D167" s="12">
        <f>(((VLOOKUP(D161,Data!$R$4:$U$62,3,FALSE)*E161)+(VLOOKUP(D162,Data!$R$4:$U$62,3,FALSE)*E162))/E154)*Data!$R$3</f>
        <v>2.4</v>
      </c>
      <c r="E167" s="13" t="s">
        <v>116</v>
      </c>
      <c r="F167" s="14">
        <f>(((VLOOKUP(F161,Data!$R$4:$U$62,3,FALSE)*G161)+(VLOOKUP(F162,Data!$R$4:$U$62,3,FALSE)*G162))/E154)*Data!$R$3</f>
        <v>2.4</v>
      </c>
      <c r="G167" s="13" t="s">
        <v>116</v>
      </c>
      <c r="H167" s="14">
        <f>(((VLOOKUP(H161,Data!$R$4:$U$62,3,FALSE)*I161)+(VLOOKUP(H162,Data!$R$4:$U$62,3,FALSE)*I162))/E154)*Data!$R$3</f>
        <v>2.4</v>
      </c>
      <c r="I167" s="13" t="s">
        <v>116</v>
      </c>
      <c r="J167" s="14">
        <f>(((VLOOKUP(J161,Data!$R$4:$U$62,3,FALSE)*K161)+(VLOOKUP(J162,Data!$R$4:$U$62,3,FALSE)*K162))/E154)*Data!$R$3</f>
        <v>2.4</v>
      </c>
      <c r="K167" s="15" t="s">
        <v>116</v>
      </c>
      <c r="L167" s="12">
        <f>(((VLOOKUP(L161,Data!$R$4:$U$62,3,FALSE)*M161)+(VLOOKUP(L162,Data!$R$4:$U$62,3,FALSE)*M162))/E154)*Data!$R$3</f>
        <v>2.4</v>
      </c>
      <c r="M167" s="13" t="s">
        <v>116</v>
      </c>
      <c r="N167" s="14">
        <f>(((VLOOKUP(N161,Data!$R$4:$U$62,3,FALSE)*O161)+(VLOOKUP(N162,Data!$R$4:$U$62,3,FALSE)*O162))/E154)*Data!$R$3</f>
        <v>2.4</v>
      </c>
      <c r="O167" s="13" t="s">
        <v>116</v>
      </c>
      <c r="P167" s="14">
        <f>(((VLOOKUP(P161,Data!$R$4:$U$62,3,FALSE)*Q161)+(VLOOKUP(P162,Data!$R$4:$U$62,3,FALSE)*Q162))/E154)*Data!$R$3</f>
        <v>2.4</v>
      </c>
      <c r="Q167" s="13" t="s">
        <v>116</v>
      </c>
      <c r="R167" s="14">
        <f>(((VLOOKUP(R161,Data!$R$4:$U$62,3,FALSE)*S161)+(VLOOKUP(R162,Data!$R$4:$U$62,3,FALSE)*S162))/E154)*Data!$R$3</f>
        <v>2.4</v>
      </c>
      <c r="S167" s="15" t="s">
        <v>116</v>
      </c>
      <c r="T167" s="1"/>
    </row>
    <row r="168" spans="1:36" x14ac:dyDescent="0.2">
      <c r="A168" s="1"/>
      <c r="B168" s="23" t="s">
        <v>200</v>
      </c>
      <c r="C168" s="1"/>
      <c r="D168" s="12">
        <f>(((VLOOKUP(D161,Data!$R$4:$U$62,4,FALSE)*E161)+(VLOOKUP(D162,Data!$R$4:$U$62,4,FALSE)*E162))/E154)*Data!$R$3</f>
        <v>2.4</v>
      </c>
      <c r="E168" s="13" t="s">
        <v>117</v>
      </c>
      <c r="F168" s="14">
        <f>(((VLOOKUP(F161,Data!$R$4:$U$62,4,FALSE)*G161)+(VLOOKUP(F162,Data!$R$4:$U$62,4,FALSE)*G162))/E154)*Data!$R$3</f>
        <v>2.4</v>
      </c>
      <c r="G168" s="13" t="s">
        <v>117</v>
      </c>
      <c r="H168" s="14">
        <f>(((VLOOKUP(H161,Data!$R$4:$U$62,4,FALSE)*I161)+(VLOOKUP(H162,Data!$R$4:$U$62,4,FALSE)*I162))/E154)*Data!$R$3</f>
        <v>2.4</v>
      </c>
      <c r="I168" s="13" t="s">
        <v>117</v>
      </c>
      <c r="J168" s="14">
        <f>(((VLOOKUP(J161,Data!$R$4:$U$62,4,FALSE)*K161)+(VLOOKUP(J162,Data!$R$4:$U$62,4,FALSE)*K162))/E154)*Data!$R$3</f>
        <v>2.4</v>
      </c>
      <c r="K168" s="15" t="s">
        <v>117</v>
      </c>
      <c r="L168" s="12">
        <f>(((VLOOKUP(L161,Data!$R$4:$U$62,4,FALSE)*M161)+(VLOOKUP(L162,Data!$R$4:$U$62,4,FALSE)*M162))/E154)*Data!$R$3</f>
        <v>2.4</v>
      </c>
      <c r="M168" s="13" t="s">
        <v>117</v>
      </c>
      <c r="N168" s="14">
        <f>(((VLOOKUP(N161,Data!$R$4:$U$62,4,FALSE)*O161)+(VLOOKUP(N162,Data!$R$4:$U$62,4,FALSE)*O162))/E154)*Data!$R$3</f>
        <v>2.4</v>
      </c>
      <c r="O168" s="13" t="s">
        <v>117</v>
      </c>
      <c r="P168" s="14">
        <f>(((VLOOKUP(P161,Data!$R$4:$U$62,4,FALSE)*Q161)+(VLOOKUP(P162,Data!$R$4:$U$62,4,FALSE)*Q162))/E154)*Data!$R$3</f>
        <v>2.4</v>
      </c>
      <c r="Q168" s="13" t="s">
        <v>117</v>
      </c>
      <c r="R168" s="14">
        <f>(((VLOOKUP(R161,Data!$R$4:$U$62,4,FALSE)*S161)+(VLOOKUP(R162,Data!$R$4:$U$62,4,FALSE)*S162))/E154)*Data!$R$3</f>
        <v>2.4</v>
      </c>
      <c r="S168" s="15" t="s">
        <v>117</v>
      </c>
      <c r="T168" s="1"/>
    </row>
    <row r="169" spans="1:36" ht="6" customHeight="1" x14ac:dyDescent="0.2">
      <c r="A169" s="1"/>
      <c r="B169" s="2"/>
      <c r="C169" s="1"/>
      <c r="D169" s="43"/>
      <c r="E169" s="44"/>
      <c r="F169" s="45"/>
      <c r="G169" s="44"/>
      <c r="H169" s="45"/>
      <c r="I169" s="44"/>
      <c r="J169" s="45"/>
      <c r="K169" s="46"/>
      <c r="L169" s="43"/>
      <c r="M169" s="44"/>
      <c r="N169" s="45"/>
      <c r="O169" s="47"/>
      <c r="P169" s="45"/>
      <c r="Q169" s="44"/>
      <c r="R169" s="45"/>
      <c r="S169" s="46"/>
      <c r="T169" s="1"/>
    </row>
    <row r="170" spans="1:36" x14ac:dyDescent="0.2">
      <c r="A170" s="1"/>
      <c r="B170" s="23" t="s">
        <v>212</v>
      </c>
      <c r="C170" s="1"/>
      <c r="D170" s="17">
        <f>(17*(10^-8))*((2*D163)/(R154*(10^-5)))</f>
        <v>0.40800000000000003</v>
      </c>
      <c r="E170" s="16" t="s">
        <v>213</v>
      </c>
      <c r="F170" s="18">
        <f>(17*(10^-8))*((2*F163)/(R154*(10^-5)))</f>
        <v>0.40800000000000003</v>
      </c>
      <c r="G170" s="16" t="s">
        <v>213</v>
      </c>
      <c r="H170" s="18">
        <f>(17*(10^-8))*((2*H163)/(R154*(10^-5)))</f>
        <v>0.40800000000000003</v>
      </c>
      <c r="I170" s="16" t="s">
        <v>213</v>
      </c>
      <c r="J170" s="18">
        <f>(17*(10^-8))*((2*J163)/(R154*(10^-5)))</f>
        <v>0.40800000000000003</v>
      </c>
      <c r="K170" s="15" t="s">
        <v>213</v>
      </c>
      <c r="L170" s="17">
        <f>(17*(10^-8))*((2*L163)/(R154*(10^-5)))</f>
        <v>0.40800000000000003</v>
      </c>
      <c r="M170" s="16" t="s">
        <v>213</v>
      </c>
      <c r="N170" s="18">
        <f>(17*(10^-8))*((2*N163)/(R154*(10^-5)))</f>
        <v>0.40800000000000003</v>
      </c>
      <c r="O170" s="13" t="s">
        <v>213</v>
      </c>
      <c r="P170" s="18">
        <f>(17*(10^-8))*((2*P163)/(R154*(10^-5)))</f>
        <v>0.40800000000000003</v>
      </c>
      <c r="Q170" s="16" t="s">
        <v>213</v>
      </c>
      <c r="R170" s="18">
        <f>(17*(10^-8))*((2*R163)/(R154*(10^-5)))</f>
        <v>0.40800000000000003</v>
      </c>
      <c r="S170" s="15" t="s">
        <v>213</v>
      </c>
      <c r="T170" s="1"/>
    </row>
    <row r="171" spans="1:36" x14ac:dyDescent="0.2">
      <c r="A171" s="1"/>
      <c r="B171" s="23" t="s">
        <v>214</v>
      </c>
      <c r="C171" s="1"/>
      <c r="D171" s="19">
        <f>E154*SQRT(2)</f>
        <v>325.26911934581187</v>
      </c>
      <c r="E171" s="16" t="s">
        <v>215</v>
      </c>
      <c r="F171" s="20">
        <f>E154*SQRT(2)</f>
        <v>325.26911934581187</v>
      </c>
      <c r="G171" s="16" t="s">
        <v>215</v>
      </c>
      <c r="H171" s="20">
        <f>E154*SQRT(2)</f>
        <v>325.26911934581187</v>
      </c>
      <c r="I171" s="16" t="s">
        <v>215</v>
      </c>
      <c r="J171" s="20">
        <f>E154*SQRT(2)</f>
        <v>325.26911934581187</v>
      </c>
      <c r="K171" s="15" t="s">
        <v>215</v>
      </c>
      <c r="L171" s="19">
        <f>E154*SQRT(2)</f>
        <v>325.26911934581187</v>
      </c>
      <c r="M171" s="16" t="s">
        <v>215</v>
      </c>
      <c r="N171" s="20">
        <f>E154*SQRT(2)</f>
        <v>325.26911934581187</v>
      </c>
      <c r="O171" s="16" t="s">
        <v>215</v>
      </c>
      <c r="P171" s="20">
        <f>E154*SQRT(2)</f>
        <v>325.26911934581187</v>
      </c>
      <c r="Q171" s="16" t="s">
        <v>215</v>
      </c>
      <c r="R171" s="20">
        <f>E154*SQRT(2)</f>
        <v>325.26911934581187</v>
      </c>
      <c r="S171" s="15" t="s">
        <v>215</v>
      </c>
      <c r="T171" s="1"/>
    </row>
    <row r="172" spans="1:36" x14ac:dyDescent="0.2">
      <c r="A172" s="1"/>
      <c r="B172" s="23" t="s">
        <v>223</v>
      </c>
      <c r="C172" s="1"/>
      <c r="D172" s="12">
        <f>D168*D170</f>
        <v>0.97920000000000007</v>
      </c>
      <c r="E172" s="16" t="s">
        <v>215</v>
      </c>
      <c r="F172" s="14">
        <f>F168*F170</f>
        <v>0.97920000000000007</v>
      </c>
      <c r="G172" s="16" t="s">
        <v>215</v>
      </c>
      <c r="H172" s="14">
        <f>H168*H170</f>
        <v>0.97920000000000007</v>
      </c>
      <c r="I172" s="16" t="s">
        <v>215</v>
      </c>
      <c r="J172" s="14">
        <f>J168*J170</f>
        <v>0.97920000000000007</v>
      </c>
      <c r="K172" s="15" t="s">
        <v>215</v>
      </c>
      <c r="L172" s="12">
        <f>L168*L170</f>
        <v>0.97920000000000007</v>
      </c>
      <c r="M172" s="16" t="s">
        <v>215</v>
      </c>
      <c r="N172" s="14">
        <f>N168*N170</f>
        <v>0.97920000000000007</v>
      </c>
      <c r="O172" s="16" t="s">
        <v>215</v>
      </c>
      <c r="P172" s="14">
        <f>P168*P170</f>
        <v>0.97920000000000007</v>
      </c>
      <c r="Q172" s="16" t="s">
        <v>215</v>
      </c>
      <c r="R172" s="14">
        <f>R168*R170</f>
        <v>0.97920000000000007</v>
      </c>
      <c r="S172" s="15" t="s">
        <v>215</v>
      </c>
      <c r="T172" s="1"/>
    </row>
    <row r="173" spans="1:36" x14ac:dyDescent="0.2">
      <c r="A173" s="1"/>
      <c r="B173" s="23" t="s">
        <v>225</v>
      </c>
      <c r="C173" s="1"/>
      <c r="D173" s="19">
        <f>D171-D172</f>
        <v>324.28991934581188</v>
      </c>
      <c r="E173" s="16" t="s">
        <v>215</v>
      </c>
      <c r="F173" s="20">
        <f>F171-F172</f>
        <v>324.28991934581188</v>
      </c>
      <c r="G173" s="16" t="s">
        <v>215</v>
      </c>
      <c r="H173" s="20">
        <f>H171-H172</f>
        <v>324.28991934581188</v>
      </c>
      <c r="I173" s="16" t="s">
        <v>215</v>
      </c>
      <c r="J173" s="20">
        <f>J171-J172</f>
        <v>324.28991934581188</v>
      </c>
      <c r="K173" s="15" t="s">
        <v>215</v>
      </c>
      <c r="L173" s="19">
        <f>L171-L172</f>
        <v>324.28991934581188</v>
      </c>
      <c r="M173" s="16" t="s">
        <v>215</v>
      </c>
      <c r="N173" s="20">
        <f>N171-N172</f>
        <v>324.28991934581188</v>
      </c>
      <c r="O173" s="16" t="s">
        <v>215</v>
      </c>
      <c r="P173" s="20">
        <f>P171-P172</f>
        <v>324.28991934581188</v>
      </c>
      <c r="Q173" s="16" t="s">
        <v>215</v>
      </c>
      <c r="R173" s="20">
        <f>R171-R172</f>
        <v>324.28991934581188</v>
      </c>
      <c r="S173" s="15" t="s">
        <v>215</v>
      </c>
      <c r="T173" s="1"/>
    </row>
    <row r="174" spans="1:36" ht="17" thickBot="1" x14ac:dyDescent="0.25">
      <c r="A174" s="1"/>
      <c r="B174" s="24" t="s">
        <v>227</v>
      </c>
      <c r="C174" s="1"/>
      <c r="D174" s="141">
        <f>(D172*100)/D171</f>
        <v>0.30104302614689882</v>
      </c>
      <c r="E174" s="21" t="str">
        <f>IF(D174&gt;Data!$AC$27,"&lt;OVER!","% V Pk")</f>
        <v>% V Pk</v>
      </c>
      <c r="F174" s="142">
        <f>(F172*100)/F171</f>
        <v>0.30104302614689882</v>
      </c>
      <c r="G174" s="21" t="str">
        <f>IF(F174&gt;Data!$AC$27,"&lt;OVER!","% V Pk")</f>
        <v>% V Pk</v>
      </c>
      <c r="H174" s="142">
        <f>(H172*100)/H171</f>
        <v>0.30104302614689882</v>
      </c>
      <c r="I174" s="21" t="str">
        <f>IF(H174&gt;Data!$AC$27,"&lt;OVER!","% V Pk")</f>
        <v>% V Pk</v>
      </c>
      <c r="J174" s="142">
        <f>(J172*100)/J171</f>
        <v>0.30104302614689882</v>
      </c>
      <c r="K174" s="21" t="str">
        <f>IF(J174&gt;Data!$AC$27,"&lt;OVER!","% V Pk")</f>
        <v>% V Pk</v>
      </c>
      <c r="L174" s="141">
        <f>(L172*100)/L171</f>
        <v>0.30104302614689882</v>
      </c>
      <c r="M174" s="21" t="str">
        <f>IF(L174&gt;Data!$AC$27,"&lt;OVER!","% V Pk")</f>
        <v>% V Pk</v>
      </c>
      <c r="N174" s="142">
        <f>(N172*100)/N171</f>
        <v>0.30104302614689882</v>
      </c>
      <c r="O174" s="21" t="str">
        <f>IF(N174&gt;Data!$AC$27,"&lt;OVER!","% V Pk")</f>
        <v>% V Pk</v>
      </c>
      <c r="P174" s="142">
        <f>(P172*100)/P171</f>
        <v>0.30104302614689882</v>
      </c>
      <c r="Q174" s="21" t="str">
        <f>IF(P174&gt;Data!$AC$27,"&lt;OVER!","% V Pk")</f>
        <v>% V Pk</v>
      </c>
      <c r="R174" s="142">
        <f>(R172*100)/R171</f>
        <v>0.30104302614689882</v>
      </c>
      <c r="S174" s="22" t="str">
        <f>IF(R174&gt;Data!$AC$27,"&lt;OVER!","% V Pk")</f>
        <v>% V Pk</v>
      </c>
      <c r="T174" s="1"/>
      <c r="U174" s="571" t="s">
        <v>247</v>
      </c>
      <c r="W174" s="89"/>
      <c r="X174" s="90" t="s">
        <v>162</v>
      </c>
      <c r="Y174" s="90" t="s">
        <v>248</v>
      </c>
      <c r="Z174" s="90" t="s">
        <v>249</v>
      </c>
      <c r="AA174" s="90"/>
      <c r="AB174" s="89"/>
      <c r="AC174" s="90" t="s">
        <v>217</v>
      </c>
      <c r="AD174" s="90" t="s">
        <v>218</v>
      </c>
      <c r="AE174" s="90" t="s">
        <v>219</v>
      </c>
      <c r="AF174" s="90" t="s">
        <v>220</v>
      </c>
      <c r="AG174" s="90" t="s">
        <v>221</v>
      </c>
      <c r="AH174" s="90" t="s">
        <v>222</v>
      </c>
      <c r="AI174" s="90" t="s">
        <v>250</v>
      </c>
      <c r="AJ174" s="90" t="s">
        <v>251</v>
      </c>
    </row>
    <row r="175" spans="1:36" x14ac:dyDescent="0.2">
      <c r="A175" s="1"/>
      <c r="B175" s="1"/>
      <c r="C175" s="1"/>
      <c r="D175" s="1"/>
      <c r="E175" s="1"/>
      <c r="F175" s="1"/>
      <c r="G175" s="1"/>
      <c r="H175" s="1"/>
      <c r="I175" s="1"/>
      <c r="J175" s="1"/>
      <c r="K175" s="1"/>
      <c r="L175" s="1"/>
      <c r="M175" s="1"/>
      <c r="N175" s="1"/>
      <c r="O175" s="1"/>
      <c r="P175" s="1"/>
      <c r="Q175" s="1"/>
      <c r="R175" s="1"/>
      <c r="S175" s="1"/>
      <c r="T175" s="1"/>
      <c r="U175" s="571"/>
      <c r="W175" s="89" t="s">
        <v>224</v>
      </c>
      <c r="X175" s="90">
        <f>Data!$AC$6</f>
        <v>32</v>
      </c>
      <c r="Y175" s="90">
        <f>Data!$AC$23</f>
        <v>15</v>
      </c>
      <c r="Z175" s="90">
        <f>Data!$AC$23</f>
        <v>15</v>
      </c>
      <c r="AA175" s="90"/>
      <c r="AB175" s="89" t="s">
        <v>109</v>
      </c>
      <c r="AC175" s="91">
        <f>'EU MDM-832'!D166</f>
        <v>1.1000000000000001</v>
      </c>
      <c r="AD175" s="90">
        <f>'EU MDM-832'!F166</f>
        <v>1.1000000000000001</v>
      </c>
      <c r="AE175" s="90">
        <f>'EU MDM-832'!H166</f>
        <v>1.1000000000000001</v>
      </c>
      <c r="AF175" s="90">
        <f>'EU MDM-832'!J166</f>
        <v>1.1000000000000001</v>
      </c>
      <c r="AG175" s="90">
        <f>'EU MDM-832'!L166</f>
        <v>1.1000000000000001</v>
      </c>
      <c r="AH175" s="90">
        <f>'EU MDM-832'!N166</f>
        <v>1.1000000000000001</v>
      </c>
      <c r="AI175" s="90">
        <f>'EU MDM-832'!P166</f>
        <v>1.1000000000000001</v>
      </c>
      <c r="AJ175" s="90">
        <f>'EU MDM-832'!R166</f>
        <v>1.1000000000000001</v>
      </c>
    </row>
    <row r="176" spans="1:36" x14ac:dyDescent="0.2">
      <c r="A176" s="1"/>
      <c r="B176" s="1"/>
      <c r="C176" s="1"/>
      <c r="D176" s="1"/>
      <c r="E176" s="1"/>
      <c r="F176" s="1"/>
      <c r="G176" s="1"/>
      <c r="H176" s="1"/>
      <c r="I176" s="1"/>
      <c r="J176" s="1"/>
      <c r="K176" s="1"/>
      <c r="L176" s="1"/>
      <c r="M176" s="1"/>
      <c r="N176" s="1"/>
      <c r="O176" s="1"/>
      <c r="P176" s="1"/>
      <c r="Q176" s="1"/>
      <c r="R176" s="1"/>
      <c r="S176" s="1"/>
      <c r="T176" s="1"/>
      <c r="U176" s="571"/>
      <c r="W176" s="89"/>
      <c r="X176" s="90"/>
      <c r="Y176" s="90"/>
      <c r="Z176" s="90"/>
      <c r="AA176" s="90"/>
      <c r="AB176" s="89"/>
      <c r="AC176" s="90"/>
      <c r="AD176" s="90"/>
      <c r="AE176" s="90"/>
      <c r="AF176" s="90"/>
      <c r="AG176" s="90"/>
      <c r="AH176" s="90"/>
      <c r="AI176" s="90"/>
      <c r="AJ176" s="90"/>
    </row>
    <row r="177" spans="1:36" x14ac:dyDescent="0.2">
      <c r="A177" s="1"/>
      <c r="B177" s="1"/>
      <c r="C177" s="1"/>
      <c r="D177" s="1"/>
      <c r="E177" s="1"/>
      <c r="F177" s="1"/>
      <c r="G177" s="1"/>
      <c r="H177" s="1"/>
      <c r="I177" s="1"/>
      <c r="J177" s="1"/>
      <c r="K177" s="1"/>
      <c r="L177" s="1"/>
      <c r="M177" s="1"/>
      <c r="N177" s="1"/>
      <c r="O177" s="1"/>
      <c r="P177" s="1"/>
      <c r="Q177" s="1"/>
      <c r="R177" s="1"/>
      <c r="S177" s="1"/>
      <c r="T177" s="1"/>
      <c r="U177" s="571"/>
      <c r="W177" s="89" t="str">
        <f>'EU MDM-832'!B156</f>
        <v>MLTC + 30%</v>
      </c>
      <c r="X177" s="91">
        <f>'EU MDM-832'!D156</f>
        <v>11.44</v>
      </c>
      <c r="Y177" s="91">
        <f>'EU MDM-832'!H156</f>
        <v>4.4000000000000004</v>
      </c>
      <c r="Z177" s="92">
        <f>'EU MDM-832'!$N156</f>
        <v>4.4000000000000004</v>
      </c>
      <c r="AA177" s="90"/>
      <c r="AB177" s="89"/>
      <c r="AC177" s="90"/>
      <c r="AD177" s="90"/>
      <c r="AE177" s="90"/>
      <c r="AF177" s="90"/>
      <c r="AG177" s="90"/>
      <c r="AH177" s="90"/>
      <c r="AI177" s="90"/>
      <c r="AJ177" s="90"/>
    </row>
    <row r="178" spans="1:36" x14ac:dyDescent="0.2">
      <c r="A178" s="1"/>
      <c r="B178" s="1"/>
      <c r="C178" s="1"/>
      <c r="D178" s="1"/>
      <c r="E178" s="1"/>
      <c r="F178" s="1"/>
      <c r="G178" s="1"/>
      <c r="H178" s="1"/>
      <c r="I178" s="1"/>
      <c r="J178" s="1"/>
      <c r="K178" s="1"/>
      <c r="L178" s="1"/>
      <c r="M178" s="1"/>
      <c r="N178" s="1"/>
      <c r="O178" s="1"/>
      <c r="P178" s="1"/>
      <c r="Q178" s="1"/>
      <c r="R178" s="1"/>
      <c r="S178" s="1"/>
      <c r="T178" s="1"/>
      <c r="U178" s="571"/>
      <c r="W178" s="89" t="str">
        <f>'EU MDM-832'!B157</f>
        <v>Burst RMS</v>
      </c>
      <c r="X178" s="91">
        <f>'EU MDM-832'!D157</f>
        <v>19.2</v>
      </c>
      <c r="Y178" s="91">
        <f>'EU MDM-832'!H157</f>
        <v>9.6</v>
      </c>
      <c r="Z178" s="92">
        <f>'EU MDM-832'!$N157</f>
        <v>9.6</v>
      </c>
      <c r="AA178" s="90"/>
      <c r="AB178" s="89" t="s">
        <v>228</v>
      </c>
      <c r="AC178" s="90">
        <f>(100*AC175)/$Y175</f>
        <v>7.3333333333333339</v>
      </c>
      <c r="AD178" s="90">
        <f>(100*AD175)/$Y175</f>
        <v>7.3333333333333339</v>
      </c>
      <c r="AE178" s="90">
        <f>(100*AE175)/$Y175</f>
        <v>7.3333333333333339</v>
      </c>
      <c r="AF178" s="90">
        <f>(100*AF175)/$Y175</f>
        <v>7.3333333333333339</v>
      </c>
      <c r="AG178" s="90">
        <f>(100*AG175)/$Z175</f>
        <v>7.3333333333333339</v>
      </c>
      <c r="AH178" s="90">
        <f>(100*AH175)/$Z175</f>
        <v>7.3333333333333339</v>
      </c>
      <c r="AI178" s="90">
        <f>(100*AI175)/$Z175</f>
        <v>7.3333333333333339</v>
      </c>
      <c r="AJ178" s="90">
        <f>(100*AJ175)/$Z175</f>
        <v>7.3333333333333339</v>
      </c>
    </row>
    <row r="179" spans="1:36" x14ac:dyDescent="0.2">
      <c r="A179" s="1"/>
      <c r="B179" s="1"/>
      <c r="C179" s="1"/>
      <c r="D179" s="1"/>
      <c r="E179" s="1"/>
      <c r="F179" s="1"/>
      <c r="G179" s="1"/>
      <c r="H179" s="1"/>
      <c r="I179" s="1"/>
      <c r="J179" s="1"/>
      <c r="K179" s="1"/>
      <c r="L179" s="1"/>
      <c r="M179" s="1"/>
      <c r="N179" s="1"/>
      <c r="O179" s="1"/>
      <c r="P179" s="1"/>
      <c r="Q179" s="1"/>
      <c r="R179" s="1"/>
      <c r="S179" s="1"/>
      <c r="T179" s="1"/>
      <c r="U179" s="571"/>
      <c r="W179" s="89" t="str">
        <f>'EU MDM-832'!B158</f>
        <v>Max Inst Pk</v>
      </c>
      <c r="X179" s="91">
        <f>'EU MDM-832'!D158</f>
        <v>19.2</v>
      </c>
      <c r="Y179" s="91">
        <f>'EU MDM-832'!H158</f>
        <v>9.6</v>
      </c>
      <c r="Z179" s="92">
        <f>'EU MDM-832'!$N158</f>
        <v>9.6</v>
      </c>
      <c r="AA179" s="90"/>
      <c r="AB179" s="89" t="s">
        <v>229</v>
      </c>
      <c r="AC179" s="90">
        <f t="shared" ref="AC179:AJ179" si="20">AC178-100</f>
        <v>-92.666666666666671</v>
      </c>
      <c r="AD179" s="90">
        <f t="shared" si="20"/>
        <v>-92.666666666666671</v>
      </c>
      <c r="AE179" s="90">
        <f t="shared" si="20"/>
        <v>-92.666666666666671</v>
      </c>
      <c r="AF179" s="90">
        <f t="shared" si="20"/>
        <v>-92.666666666666671</v>
      </c>
      <c r="AG179" s="90">
        <f t="shared" si="20"/>
        <v>-92.666666666666671</v>
      </c>
      <c r="AH179" s="90">
        <f t="shared" si="20"/>
        <v>-92.666666666666671</v>
      </c>
      <c r="AI179" s="90">
        <f t="shared" si="20"/>
        <v>-92.666666666666671</v>
      </c>
      <c r="AJ179" s="90">
        <f t="shared" si="20"/>
        <v>-92.666666666666671</v>
      </c>
    </row>
    <row r="180" spans="1:36" x14ac:dyDescent="0.2">
      <c r="A180" s="1"/>
      <c r="B180" s="1"/>
      <c r="C180" s="1"/>
      <c r="D180" s="1"/>
      <c r="E180" s="1"/>
      <c r="F180" s="1"/>
      <c r="G180" s="1"/>
      <c r="H180" s="1"/>
      <c r="I180" s="1"/>
      <c r="J180" s="1"/>
      <c r="K180" s="1"/>
      <c r="L180" s="1"/>
      <c r="M180" s="1"/>
      <c r="N180" s="1"/>
      <c r="O180" s="1"/>
      <c r="P180" s="1"/>
      <c r="Q180" s="1"/>
      <c r="R180" s="1"/>
      <c r="S180" s="1"/>
      <c r="T180" s="1"/>
      <c r="U180" s="571"/>
      <c r="W180" s="89" t="s">
        <v>109</v>
      </c>
      <c r="X180" s="91">
        <f>(D166+F166+H166+J166+L166+N166+P166+R166)</f>
        <v>8.7999999999999989</v>
      </c>
      <c r="Y180" s="90"/>
      <c r="Z180" s="90"/>
      <c r="AA180" s="90"/>
      <c r="AB180" s="89" t="s">
        <v>230</v>
      </c>
      <c r="AC180" s="90">
        <f t="shared" ref="AC180:AJ180" si="21">IF(AC179&lt;0,AC178,100)</f>
        <v>7.3333333333333339</v>
      </c>
      <c r="AD180" s="90">
        <f t="shared" si="21"/>
        <v>7.3333333333333339</v>
      </c>
      <c r="AE180" s="90">
        <f t="shared" si="21"/>
        <v>7.3333333333333339</v>
      </c>
      <c r="AF180" s="90">
        <f t="shared" si="21"/>
        <v>7.3333333333333339</v>
      </c>
      <c r="AG180" s="90">
        <f t="shared" si="21"/>
        <v>7.3333333333333339</v>
      </c>
      <c r="AH180" s="90">
        <f t="shared" si="21"/>
        <v>7.3333333333333339</v>
      </c>
      <c r="AI180" s="90">
        <f t="shared" si="21"/>
        <v>7.3333333333333339</v>
      </c>
      <c r="AJ180" s="90">
        <f t="shared" si="21"/>
        <v>7.3333333333333339</v>
      </c>
    </row>
    <row r="181" spans="1:36" x14ac:dyDescent="0.2">
      <c r="A181" s="1"/>
      <c r="B181" s="1"/>
      <c r="C181" s="1"/>
      <c r="D181" s="1"/>
      <c r="E181" s="1"/>
      <c r="F181" s="1"/>
      <c r="G181" s="1"/>
      <c r="H181" s="1"/>
      <c r="I181" s="1"/>
      <c r="J181" s="1"/>
      <c r="K181" s="1"/>
      <c r="L181" s="1"/>
      <c r="M181" s="1"/>
      <c r="N181" s="1"/>
      <c r="O181" s="1"/>
      <c r="P181" s="1"/>
      <c r="Q181" s="1"/>
      <c r="R181" s="1"/>
      <c r="S181" s="1"/>
      <c r="T181" s="1"/>
      <c r="U181" s="571"/>
      <c r="W181" s="89"/>
      <c r="X181" s="90"/>
      <c r="Y181" s="90"/>
      <c r="Z181" s="90"/>
      <c r="AA181" s="90"/>
      <c r="AB181" s="89" t="s">
        <v>231</v>
      </c>
      <c r="AC181" s="90" t="e">
        <f t="shared" ref="AC181:AJ181" si="22">IF(AC178&gt;100,AC178-AC180,NA())</f>
        <v>#N/A</v>
      </c>
      <c r="AD181" s="90" t="e">
        <f t="shared" si="22"/>
        <v>#N/A</v>
      </c>
      <c r="AE181" s="90" t="e">
        <f t="shared" si="22"/>
        <v>#N/A</v>
      </c>
      <c r="AF181" s="90" t="e">
        <f t="shared" si="22"/>
        <v>#N/A</v>
      </c>
      <c r="AG181" s="90" t="e">
        <f t="shared" si="22"/>
        <v>#N/A</v>
      </c>
      <c r="AH181" s="90" t="e">
        <f t="shared" si="22"/>
        <v>#N/A</v>
      </c>
      <c r="AI181" s="90" t="e">
        <f t="shared" si="22"/>
        <v>#N/A</v>
      </c>
      <c r="AJ181" s="90" t="e">
        <f t="shared" si="22"/>
        <v>#N/A</v>
      </c>
    </row>
    <row r="182" spans="1:36" x14ac:dyDescent="0.2">
      <c r="A182" s="1"/>
      <c r="B182" s="1"/>
      <c r="C182" s="1"/>
      <c r="D182" s="1"/>
      <c r="E182" s="1"/>
      <c r="F182" s="1"/>
      <c r="G182" s="1"/>
      <c r="H182" s="1"/>
      <c r="I182" s="1"/>
      <c r="J182" s="1"/>
      <c r="K182" s="1"/>
      <c r="L182" s="1"/>
      <c r="M182" s="1"/>
      <c r="N182" s="1"/>
      <c r="O182" s="1"/>
      <c r="P182" s="1"/>
      <c r="Q182" s="1"/>
      <c r="R182" s="1"/>
      <c r="S182" s="1"/>
      <c r="T182" s="1"/>
      <c r="U182" s="571"/>
      <c r="W182" s="89" t="s">
        <v>228</v>
      </c>
      <c r="X182" s="90">
        <f>(100*X177)/X175</f>
        <v>35.75</v>
      </c>
      <c r="Y182" s="90">
        <f>(100*Y177)/Y175</f>
        <v>29.333333333333336</v>
      </c>
      <c r="Z182" s="90">
        <f>(100*Z177)/Z175</f>
        <v>29.333333333333336</v>
      </c>
      <c r="AA182" s="90"/>
      <c r="AB182" s="89" t="s">
        <v>232</v>
      </c>
      <c r="AC182" s="90">
        <f>Data!$AC$13</f>
        <v>10</v>
      </c>
      <c r="AD182" s="90">
        <f>Data!$AC$13</f>
        <v>10</v>
      </c>
      <c r="AE182" s="90">
        <f>Data!$AC$13</f>
        <v>10</v>
      </c>
      <c r="AF182" s="90">
        <f>Data!$AC$13</f>
        <v>10</v>
      </c>
      <c r="AG182" s="90">
        <f>Data!$AC$13</f>
        <v>10</v>
      </c>
      <c r="AH182" s="90">
        <f>Data!$AC$13</f>
        <v>10</v>
      </c>
      <c r="AI182" s="90">
        <f>Data!$AC$13</f>
        <v>10</v>
      </c>
      <c r="AJ182" s="90">
        <f>Data!$AC$13</f>
        <v>10</v>
      </c>
    </row>
    <row r="183" spans="1:36" x14ac:dyDescent="0.2">
      <c r="A183" s="1"/>
      <c r="B183" s="1"/>
      <c r="C183" s="1"/>
      <c r="D183" s="1"/>
      <c r="E183" s="1"/>
      <c r="F183" s="1"/>
      <c r="G183" s="1"/>
      <c r="H183" s="1"/>
      <c r="I183" s="1"/>
      <c r="J183" s="1"/>
      <c r="K183" s="1"/>
      <c r="L183" s="1"/>
      <c r="M183" s="1"/>
      <c r="N183" s="1"/>
      <c r="O183" s="1"/>
      <c r="P183" s="1"/>
      <c r="Q183" s="1"/>
      <c r="R183" s="1"/>
      <c r="S183" s="1"/>
      <c r="T183" s="1"/>
      <c r="U183" s="571"/>
      <c r="W183" s="89" t="s">
        <v>229</v>
      </c>
      <c r="X183" s="90">
        <f>X182-100</f>
        <v>-64.25</v>
      </c>
      <c r="Y183" s="90">
        <f>Y182-100</f>
        <v>-70.666666666666657</v>
      </c>
      <c r="Z183" s="90">
        <f>Z182-100</f>
        <v>-70.666666666666657</v>
      </c>
      <c r="AA183" s="90"/>
      <c r="AB183" s="89" t="s">
        <v>233</v>
      </c>
      <c r="AC183" s="92">
        <f>-'EU MDM-832'!$D174</f>
        <v>-0.30104302614689882</v>
      </c>
      <c r="AD183" s="92">
        <f>-'EU MDM-832'!$F174</f>
        <v>-0.30104302614689882</v>
      </c>
      <c r="AE183" s="92">
        <f>-'EU MDM-832'!$H174</f>
        <v>-0.30104302614689882</v>
      </c>
      <c r="AF183" s="92">
        <f>-'EU MDM-832'!$J174</f>
        <v>-0.30104302614689882</v>
      </c>
      <c r="AG183" s="92">
        <f>-'EU MDM-832'!$L174</f>
        <v>-0.30104302614689882</v>
      </c>
      <c r="AH183" s="92">
        <f>-'EU MDM-832'!$N174</f>
        <v>-0.30104302614689882</v>
      </c>
      <c r="AI183" s="92">
        <f>-'EU MDM-832'!$P174</f>
        <v>-0.30104302614689882</v>
      </c>
      <c r="AJ183" s="92">
        <f>-'EU MDM-832'!$R174</f>
        <v>-0.30104302614689882</v>
      </c>
    </row>
    <row r="184" spans="1:36" x14ac:dyDescent="0.2">
      <c r="A184" s="1"/>
      <c r="B184" s="1"/>
      <c r="C184" s="1"/>
      <c r="D184" s="1"/>
      <c r="E184" s="1"/>
      <c r="F184" s="1"/>
      <c r="G184" s="1"/>
      <c r="H184" s="1"/>
      <c r="I184" s="1"/>
      <c r="J184" s="1"/>
      <c r="K184" s="1"/>
      <c r="L184" s="1"/>
      <c r="M184" s="1"/>
      <c r="N184" s="1"/>
      <c r="O184" s="1"/>
      <c r="P184" s="1"/>
      <c r="Q184" s="1"/>
      <c r="R184" s="1"/>
      <c r="S184" s="1"/>
      <c r="T184" s="1"/>
      <c r="U184" s="571"/>
      <c r="W184" s="89" t="s">
        <v>230</v>
      </c>
      <c r="X184" s="90">
        <f>IF(X183&lt;0,X182,100)</f>
        <v>35.75</v>
      </c>
      <c r="Y184" s="90">
        <f>IF(Y183&lt;0,Y182,100)</f>
        <v>29.333333333333336</v>
      </c>
      <c r="Z184" s="90">
        <f>IF(Z183&lt;0,Z182,100)</f>
        <v>29.333333333333336</v>
      </c>
      <c r="AA184" s="90"/>
      <c r="AB184" s="89" t="s">
        <v>234</v>
      </c>
      <c r="AC184" s="90">
        <f t="shared" ref="AC184:AJ184" si="23">IF(AC183&gt;-AC182,AC183,-AC182)</f>
        <v>-0.30104302614689882</v>
      </c>
      <c r="AD184" s="90">
        <f t="shared" si="23"/>
        <v>-0.30104302614689882</v>
      </c>
      <c r="AE184" s="90">
        <f t="shared" si="23"/>
        <v>-0.30104302614689882</v>
      </c>
      <c r="AF184" s="90">
        <f t="shared" si="23"/>
        <v>-0.30104302614689882</v>
      </c>
      <c r="AG184" s="90">
        <f t="shared" si="23"/>
        <v>-0.30104302614689882</v>
      </c>
      <c r="AH184" s="90">
        <f t="shared" si="23"/>
        <v>-0.30104302614689882</v>
      </c>
      <c r="AI184" s="90">
        <f t="shared" si="23"/>
        <v>-0.30104302614689882</v>
      </c>
      <c r="AJ184" s="90">
        <f t="shared" si="23"/>
        <v>-0.30104302614689882</v>
      </c>
    </row>
    <row r="185" spans="1:36" x14ac:dyDescent="0.2">
      <c r="A185" s="1"/>
      <c r="B185" s="1"/>
      <c r="C185" s="1"/>
      <c r="D185" s="1"/>
      <c r="E185" s="1"/>
      <c r="F185" s="1"/>
      <c r="G185" s="1"/>
      <c r="H185" s="1"/>
      <c r="I185" s="1"/>
      <c r="J185" s="1"/>
      <c r="K185" s="1"/>
      <c r="L185" s="1"/>
      <c r="M185" s="1"/>
      <c r="N185" s="1"/>
      <c r="O185" s="1"/>
      <c r="P185" s="1"/>
      <c r="Q185" s="1"/>
      <c r="R185" s="1"/>
      <c r="S185" s="1"/>
      <c r="T185" s="1"/>
      <c r="U185" s="571"/>
      <c r="W185" s="89" t="s">
        <v>231</v>
      </c>
      <c r="X185" s="90" t="e">
        <f>IF(X182&gt;100,X182-X184,NA())</f>
        <v>#N/A</v>
      </c>
      <c r="Y185" s="90" t="e">
        <f>IF(Y182&gt;100,Y182-Y184,NA())</f>
        <v>#N/A</v>
      </c>
      <c r="Z185" s="90" t="e">
        <f>IF(Z182&gt;100,Z182-Z184,NA())</f>
        <v>#N/A</v>
      </c>
      <c r="AA185" s="90"/>
      <c r="AB185" s="89" t="s">
        <v>235</v>
      </c>
      <c r="AC185" s="90" t="e">
        <f t="shared" ref="AC185:AJ185" si="24">IF(AC183&gt;-AC182,NA(),AC183+AC182)</f>
        <v>#N/A</v>
      </c>
      <c r="AD185" s="90" t="e">
        <f t="shared" si="24"/>
        <v>#N/A</v>
      </c>
      <c r="AE185" s="90" t="e">
        <f t="shared" si="24"/>
        <v>#N/A</v>
      </c>
      <c r="AF185" s="90" t="e">
        <f t="shared" si="24"/>
        <v>#N/A</v>
      </c>
      <c r="AG185" s="90" t="e">
        <f t="shared" si="24"/>
        <v>#N/A</v>
      </c>
      <c r="AH185" s="90" t="e">
        <f t="shared" si="24"/>
        <v>#N/A</v>
      </c>
      <c r="AI185" s="90" t="e">
        <f t="shared" si="24"/>
        <v>#N/A</v>
      </c>
      <c r="AJ185" s="90" t="e">
        <f t="shared" si="24"/>
        <v>#N/A</v>
      </c>
    </row>
    <row r="186" spans="1:36" x14ac:dyDescent="0.2">
      <c r="A186" s="1"/>
      <c r="B186" s="1"/>
      <c r="C186" s="1"/>
      <c r="D186" s="1"/>
      <c r="E186" s="1"/>
      <c r="F186" s="1"/>
      <c r="G186" s="1"/>
      <c r="H186" s="1"/>
      <c r="I186" s="1"/>
      <c r="J186" s="1"/>
      <c r="K186" s="1"/>
      <c r="L186" s="1"/>
      <c r="M186" s="1"/>
      <c r="N186" s="1"/>
      <c r="O186" s="1"/>
      <c r="P186" s="1"/>
      <c r="Q186" s="1"/>
      <c r="R186" s="1"/>
      <c r="S186" s="1"/>
      <c r="T186" s="1"/>
      <c r="U186" s="571"/>
      <c r="W186" s="89"/>
      <c r="X186" s="90"/>
      <c r="Y186" s="90"/>
      <c r="Z186" s="90"/>
      <c r="AA186" s="90"/>
      <c r="AB186" s="89"/>
    </row>
    <row r="187" spans="1:36" x14ac:dyDescent="0.2">
      <c r="A187" s="1"/>
      <c r="B187" s="1"/>
      <c r="C187" s="1"/>
      <c r="D187" s="1"/>
      <c r="E187" s="1"/>
      <c r="F187" s="1"/>
      <c r="G187" s="1"/>
      <c r="H187" s="1"/>
      <c r="I187" s="1"/>
      <c r="J187" s="1"/>
      <c r="K187" s="1"/>
      <c r="L187" s="1"/>
      <c r="M187" s="1"/>
      <c r="N187" s="1"/>
      <c r="O187" s="1"/>
      <c r="P187" s="1"/>
      <c r="Q187" s="1"/>
      <c r="R187" s="1"/>
      <c r="S187" s="1"/>
      <c r="T187" s="1"/>
      <c r="U187" s="571"/>
      <c r="W187" s="89"/>
      <c r="X187" s="90"/>
      <c r="Y187" s="90"/>
      <c r="Z187" s="90"/>
      <c r="AA187" s="90"/>
      <c r="AB187" s="89"/>
    </row>
    <row r="188" spans="1:36" x14ac:dyDescent="0.2">
      <c r="A188" s="1"/>
      <c r="B188" s="1"/>
      <c r="C188" s="1"/>
      <c r="D188" s="1"/>
      <c r="E188" s="1"/>
      <c r="F188" s="1"/>
      <c r="G188" s="1"/>
      <c r="H188" s="1"/>
      <c r="I188" s="1"/>
      <c r="J188" s="1"/>
      <c r="K188" s="1"/>
      <c r="L188" s="1"/>
      <c r="M188" s="1"/>
      <c r="N188" s="1"/>
      <c r="O188" s="1"/>
      <c r="P188" s="1"/>
      <c r="Q188" s="1"/>
      <c r="R188" s="1"/>
      <c r="S188" s="1"/>
      <c r="T188" s="1"/>
      <c r="U188" s="571"/>
      <c r="W188" s="89"/>
      <c r="X188" s="90"/>
      <c r="Y188" s="90"/>
      <c r="Z188" s="90"/>
      <c r="AA188" s="90"/>
      <c r="AB188" s="89"/>
    </row>
    <row r="189" spans="1:36" x14ac:dyDescent="0.2">
      <c r="A189" s="1"/>
      <c r="B189" s="1"/>
      <c r="C189" s="1"/>
      <c r="D189" s="1"/>
      <c r="E189" s="1"/>
      <c r="F189" s="1"/>
      <c r="G189" s="1"/>
      <c r="H189" s="1"/>
      <c r="I189" s="1"/>
      <c r="J189" s="1"/>
      <c r="K189" s="1"/>
      <c r="L189" s="1"/>
      <c r="M189" s="1"/>
      <c r="N189" s="1"/>
      <c r="O189" s="1"/>
      <c r="P189" s="1"/>
      <c r="Q189" s="1"/>
      <c r="R189" s="1"/>
      <c r="S189" s="1"/>
      <c r="T189" s="1"/>
      <c r="U189" s="571"/>
      <c r="W189" s="89"/>
      <c r="X189" s="90"/>
      <c r="Y189" s="90"/>
      <c r="Z189" s="90"/>
      <c r="AA189" s="90"/>
      <c r="AB189" s="89"/>
    </row>
    <row r="190" spans="1:36" ht="17" thickBot="1" x14ac:dyDescent="0.25">
      <c r="A190" s="160"/>
      <c r="B190" s="168" t="str">
        <f>Data!$T$1</f>
        <v>Meyer Sound Laboratories, Inc. Berkeley, California, USA                                 www.meyersound.com</v>
      </c>
      <c r="C190" s="160"/>
      <c r="D190" s="160"/>
      <c r="E190" s="160"/>
      <c r="F190" s="160"/>
      <c r="G190" s="160"/>
      <c r="H190" s="160"/>
      <c r="I190" s="160"/>
      <c r="J190" s="160"/>
      <c r="K190" s="160"/>
      <c r="L190" s="160"/>
      <c r="M190" s="160"/>
      <c r="N190" s="160"/>
      <c r="O190" s="160"/>
      <c r="P190" s="160"/>
      <c r="Q190" s="160"/>
      <c r="R190" s="160"/>
      <c r="S190" s="160"/>
      <c r="T190" s="126" t="str">
        <f>Data!$G$1</f>
        <v>© 2021</v>
      </c>
      <c r="U190" s="571"/>
    </row>
    <row r="191" spans="1:36" ht="17" thickBot="1" x14ac:dyDescent="0.25">
      <c r="A191" s="1"/>
      <c r="B191" s="1"/>
      <c r="C191" s="1"/>
      <c r="D191" s="1"/>
      <c r="E191" s="1"/>
      <c r="F191" s="1"/>
      <c r="G191" s="1"/>
      <c r="H191" s="1"/>
      <c r="I191" s="1"/>
      <c r="J191" s="1"/>
      <c r="K191" s="1"/>
      <c r="L191" s="1"/>
      <c r="M191" s="1"/>
      <c r="N191" s="1"/>
      <c r="O191" s="1"/>
      <c r="P191" s="1"/>
      <c r="Q191" s="1"/>
      <c r="R191" s="1"/>
      <c r="S191" s="162" t="str">
        <f>Data!$M$1</f>
        <v>06.257.005.01 C</v>
      </c>
      <c r="T191" s="1"/>
    </row>
    <row r="192" spans="1:36" x14ac:dyDescent="0.2">
      <c r="A192" s="1"/>
      <c r="B192" s="10" t="s">
        <v>192</v>
      </c>
      <c r="C192" s="1"/>
      <c r="D192" s="11" t="s">
        <v>239</v>
      </c>
      <c r="E192" s="154">
        <f>'Master EU'!$N$5</f>
        <v>230</v>
      </c>
      <c r="F192" s="1"/>
      <c r="G192" s="1"/>
      <c r="H192" s="572" t="s">
        <v>240</v>
      </c>
      <c r="I192" s="573"/>
      <c r="J192" s="7"/>
      <c r="K192" s="55"/>
      <c r="L192" s="1"/>
      <c r="M192" s="1"/>
      <c r="N192" s="53" t="s">
        <v>241</v>
      </c>
      <c r="O192" s="54"/>
      <c r="P192" s="27" t="s">
        <v>194</v>
      </c>
      <c r="Q192" s="27"/>
      <c r="R192" s="31">
        <v>2.5</v>
      </c>
      <c r="S192" s="30" t="s">
        <v>107</v>
      </c>
      <c r="T192" s="1"/>
    </row>
    <row r="193" spans="1:23" ht="5" customHeight="1" x14ac:dyDescent="0.25">
      <c r="A193" s="1"/>
      <c r="B193" s="2"/>
      <c r="C193" s="1"/>
      <c r="D193" s="5"/>
      <c r="E193" s="7"/>
      <c r="F193" s="1"/>
      <c r="G193" s="8"/>
      <c r="H193" s="56"/>
      <c r="I193" s="57"/>
      <c r="J193" s="1"/>
      <c r="K193" s="1"/>
      <c r="L193" s="7"/>
      <c r="M193" s="8"/>
      <c r="N193" s="58"/>
      <c r="O193" s="59"/>
      <c r="P193" s="1"/>
      <c r="Q193" s="1"/>
      <c r="R193" s="1"/>
      <c r="S193" s="1"/>
      <c r="T193" s="1"/>
    </row>
    <row r="194" spans="1:23" ht="15" customHeight="1" x14ac:dyDescent="0.2">
      <c r="A194" s="1"/>
      <c r="B194" s="23" t="str">
        <f>_xlfn.TEXTJOIN("",FALSE,"MLTC + ",'Master EU'!D11,"%")</f>
        <v>MLTC + 30%</v>
      </c>
      <c r="C194" s="1"/>
      <c r="D194" s="25">
        <f>(D204+F204+H204+J204+L204+N204+P204+R204)*(1+('Master EU'!D11/100))</f>
        <v>11.44</v>
      </c>
      <c r="E194" s="13" t="str">
        <f>IF(D194&gt;Data!$AC$22,"&lt;OVER!","A RMS")</f>
        <v>A RMS</v>
      </c>
      <c r="F194" s="580" t="s">
        <v>242</v>
      </c>
      <c r="G194" s="581"/>
      <c r="H194" s="48">
        <f>D204+F204+H204+J204</f>
        <v>4.4000000000000004</v>
      </c>
      <c r="I194" s="49" t="str">
        <f>IF(H194&gt;Data!$AC$23,"&lt;OVER!","A RMS")</f>
        <v>A RMS</v>
      </c>
      <c r="J194" s="574" t="s">
        <v>109</v>
      </c>
      <c r="K194" s="575"/>
      <c r="L194" s="575"/>
      <c r="M194" s="576"/>
      <c r="N194" s="48">
        <f>L204+N204+P204+R204</f>
        <v>4.4000000000000004</v>
      </c>
      <c r="O194" s="49" t="str">
        <f>IF(N194&gt;Data!$AC$23,"&lt;OVER!","A RMS")</f>
        <v>A RMS</v>
      </c>
      <c r="P194" s="1"/>
      <c r="Q194" s="562" t="str">
        <f>IF('EU MDM-832'!W204&gt;0,"N O !","O K")</f>
        <v>O K</v>
      </c>
      <c r="R194" s="563"/>
      <c r="S194" s="568">
        <v>6</v>
      </c>
      <c r="T194" s="569"/>
    </row>
    <row r="195" spans="1:23" ht="15" customHeight="1" x14ac:dyDescent="0.2">
      <c r="A195" s="1"/>
      <c r="B195" s="23" t="s">
        <v>199</v>
      </c>
      <c r="C195" s="1"/>
      <c r="D195" s="25">
        <f>(D205+F205+H205+J205+L205+N205+P205+R205)</f>
        <v>19.2</v>
      </c>
      <c r="E195" s="13" t="s">
        <v>116</v>
      </c>
      <c r="F195" s="580"/>
      <c r="G195" s="581"/>
      <c r="H195" s="48">
        <f>D205+F205+H205+J205</f>
        <v>9.6</v>
      </c>
      <c r="I195" s="50" t="s">
        <v>243</v>
      </c>
      <c r="J195" s="577" t="s">
        <v>110</v>
      </c>
      <c r="K195" s="578"/>
      <c r="L195" s="578"/>
      <c r="M195" s="579"/>
      <c r="N195" s="48">
        <f>L205+N205+P205+R205</f>
        <v>9.6</v>
      </c>
      <c r="O195" s="50" t="s">
        <v>243</v>
      </c>
      <c r="P195" s="1"/>
      <c r="Q195" s="564"/>
      <c r="R195" s="565"/>
      <c r="S195" s="568"/>
      <c r="T195" s="569"/>
    </row>
    <row r="196" spans="1:23" ht="15" customHeight="1" thickBot="1" x14ac:dyDescent="0.25">
      <c r="A196" s="1"/>
      <c r="B196" s="24" t="s">
        <v>200</v>
      </c>
      <c r="C196" s="1"/>
      <c r="D196" s="26">
        <f>(D206+F206+H206+J206+L206+N206+P206+R206)</f>
        <v>19.2</v>
      </c>
      <c r="E196" s="60" t="s">
        <v>117</v>
      </c>
      <c r="F196" s="580"/>
      <c r="G196" s="581"/>
      <c r="H196" s="51">
        <f>D206+F206+H206+J206</f>
        <v>9.6</v>
      </c>
      <c r="I196" s="52" t="str">
        <f>IF(H196&gt;Data!$AC$24,"&lt;OVER!","A Pk")</f>
        <v>A Pk</v>
      </c>
      <c r="J196" s="577" t="s">
        <v>200</v>
      </c>
      <c r="K196" s="578"/>
      <c r="L196" s="578"/>
      <c r="M196" s="579"/>
      <c r="N196" s="51">
        <f>L206+N206+P206+R206</f>
        <v>9.6</v>
      </c>
      <c r="O196" s="52" t="str">
        <f>IF(N196&gt;Data!$AC$24,"&lt;OVER!","A Pk")</f>
        <v>A Pk</v>
      </c>
      <c r="P196" s="1"/>
      <c r="Q196" s="566"/>
      <c r="R196" s="567"/>
      <c r="S196" s="568"/>
      <c r="T196" s="569"/>
    </row>
    <row r="197" spans="1:23" ht="8" customHeight="1" thickBot="1" x14ac:dyDescent="0.25">
      <c r="A197" s="1"/>
      <c r="B197" s="1"/>
      <c r="C197" s="1"/>
      <c r="D197" s="1"/>
      <c r="E197" s="1"/>
      <c r="F197" s="1"/>
      <c r="G197" s="1"/>
      <c r="H197" s="1"/>
      <c r="I197" s="1"/>
      <c r="J197" s="1"/>
      <c r="K197" s="1"/>
      <c r="L197" s="1"/>
      <c r="M197" s="1"/>
      <c r="N197" s="1"/>
      <c r="O197" s="1"/>
      <c r="P197" s="1"/>
      <c r="Q197" s="1"/>
      <c r="R197" s="1"/>
      <c r="S197" s="1"/>
      <c r="T197" s="1"/>
    </row>
    <row r="198" spans="1:23" x14ac:dyDescent="0.2">
      <c r="A198" s="1"/>
      <c r="B198" s="10" t="s">
        <v>203</v>
      </c>
      <c r="C198" s="1"/>
      <c r="D198" s="560">
        <v>1</v>
      </c>
      <c r="E198" s="561"/>
      <c r="F198" s="553">
        <v>2</v>
      </c>
      <c r="G198" s="561"/>
      <c r="H198" s="553">
        <v>3</v>
      </c>
      <c r="I198" s="561"/>
      <c r="J198" s="553">
        <v>4</v>
      </c>
      <c r="K198" s="554"/>
      <c r="L198" s="560">
        <v>5</v>
      </c>
      <c r="M198" s="561"/>
      <c r="N198" s="553">
        <v>6</v>
      </c>
      <c r="O198" s="561"/>
      <c r="P198" s="553">
        <v>7</v>
      </c>
      <c r="Q198" s="561"/>
      <c r="R198" s="553">
        <v>8</v>
      </c>
      <c r="S198" s="554"/>
      <c r="T198" s="1"/>
      <c r="V198" t="s">
        <v>244</v>
      </c>
    </row>
    <row r="199" spans="1:23" x14ac:dyDescent="0.2">
      <c r="A199" s="1"/>
      <c r="B199" s="23" t="s">
        <v>205</v>
      </c>
      <c r="C199" s="1"/>
      <c r="D199" s="61" t="s">
        <v>246</v>
      </c>
      <c r="E199" s="62">
        <v>1</v>
      </c>
      <c r="F199" s="63" t="s">
        <v>246</v>
      </c>
      <c r="G199" s="62">
        <v>1</v>
      </c>
      <c r="H199" s="63" t="s">
        <v>246</v>
      </c>
      <c r="I199" s="62">
        <v>1</v>
      </c>
      <c r="J199" s="63" t="s">
        <v>246</v>
      </c>
      <c r="K199" s="64">
        <v>1</v>
      </c>
      <c r="L199" s="61" t="s">
        <v>246</v>
      </c>
      <c r="M199" s="62">
        <v>1</v>
      </c>
      <c r="N199" s="63" t="s">
        <v>246</v>
      </c>
      <c r="O199" s="62">
        <v>1</v>
      </c>
      <c r="P199" s="63" t="s">
        <v>246</v>
      </c>
      <c r="Q199" s="62">
        <v>1</v>
      </c>
      <c r="R199" s="63" t="s">
        <v>246</v>
      </c>
      <c r="S199" s="64">
        <v>1</v>
      </c>
      <c r="T199" s="1"/>
      <c r="V199" t="s">
        <v>162</v>
      </c>
      <c r="W199">
        <f>IF('EU MDM-832'!D194&gt;Data!$AC$22,1,0)</f>
        <v>0</v>
      </c>
    </row>
    <row r="200" spans="1:23" x14ac:dyDescent="0.2">
      <c r="A200" s="1"/>
      <c r="B200" s="23" t="s">
        <v>205</v>
      </c>
      <c r="C200" s="1"/>
      <c r="D200" s="65" t="s">
        <v>127</v>
      </c>
      <c r="E200" s="62">
        <v>0</v>
      </c>
      <c r="F200" s="66" t="s">
        <v>127</v>
      </c>
      <c r="G200" s="62">
        <v>0</v>
      </c>
      <c r="H200" s="66" t="s">
        <v>127</v>
      </c>
      <c r="I200" s="62">
        <v>0</v>
      </c>
      <c r="J200" s="66" t="s">
        <v>127</v>
      </c>
      <c r="K200" s="64">
        <v>0</v>
      </c>
      <c r="L200" s="65" t="s">
        <v>127</v>
      </c>
      <c r="M200" s="62">
        <v>0</v>
      </c>
      <c r="N200" s="66" t="s">
        <v>127</v>
      </c>
      <c r="O200" s="62">
        <v>0</v>
      </c>
      <c r="P200" s="66" t="s">
        <v>127</v>
      </c>
      <c r="Q200" s="62">
        <v>0</v>
      </c>
      <c r="R200" s="66" t="s">
        <v>127</v>
      </c>
      <c r="S200" s="64">
        <v>0</v>
      </c>
      <c r="T200" s="1"/>
      <c r="V200" t="s">
        <v>201</v>
      </c>
      <c r="W200">
        <f>IF(OR('EU MDM-832'!H194&gt;Data!$AC$23,'EU MDM-832'!N194&gt;Data!$AC$23,),1,0)</f>
        <v>0</v>
      </c>
    </row>
    <row r="201" spans="1:23" x14ac:dyDescent="0.2">
      <c r="A201" s="1"/>
      <c r="B201" s="23" t="s">
        <v>121</v>
      </c>
      <c r="C201" s="1"/>
      <c r="D201" s="68">
        <v>30</v>
      </c>
      <c r="E201" s="29" t="s">
        <v>209</v>
      </c>
      <c r="F201" s="67">
        <v>30</v>
      </c>
      <c r="G201" s="29" t="s">
        <v>209</v>
      </c>
      <c r="H201" s="67">
        <v>30</v>
      </c>
      <c r="I201" s="29" t="s">
        <v>209</v>
      </c>
      <c r="J201" s="67">
        <v>30</v>
      </c>
      <c r="K201" s="28" t="s">
        <v>209</v>
      </c>
      <c r="L201" s="68">
        <v>30</v>
      </c>
      <c r="M201" s="29" t="s">
        <v>209</v>
      </c>
      <c r="N201" s="67">
        <v>30</v>
      </c>
      <c r="O201" s="29" t="s">
        <v>209</v>
      </c>
      <c r="P201" s="67">
        <v>30</v>
      </c>
      <c r="Q201" s="29" t="s">
        <v>209</v>
      </c>
      <c r="R201" s="67">
        <v>30</v>
      </c>
      <c r="S201" s="28" t="s">
        <v>209</v>
      </c>
      <c r="T201" s="1"/>
      <c r="V201" t="s">
        <v>202</v>
      </c>
      <c r="W201">
        <f>IF(OR('EU MDM-832'!H196&gt;Data!$AC$24,'EU MDM-832'!N196&gt;Data!$AC$24,),1,0)</f>
        <v>0</v>
      </c>
    </row>
    <row r="202" spans="1:23" ht="11" customHeight="1" x14ac:dyDescent="0.2">
      <c r="A202" s="1"/>
      <c r="B202" s="2"/>
      <c r="C202" s="1"/>
      <c r="D202" s="555" t="s">
        <v>210</v>
      </c>
      <c r="E202" s="556"/>
      <c r="F202" s="556"/>
      <c r="G202" s="556"/>
      <c r="H202" s="556"/>
      <c r="I202" s="556"/>
      <c r="J202" s="556"/>
      <c r="K202" s="558"/>
      <c r="L202" s="555" t="s">
        <v>210</v>
      </c>
      <c r="M202" s="556"/>
      <c r="N202" s="556"/>
      <c r="O202" s="556"/>
      <c r="P202" s="556"/>
      <c r="Q202" s="556"/>
      <c r="R202" s="556"/>
      <c r="S202" s="558"/>
      <c r="T202" s="1"/>
      <c r="V202" t="s">
        <v>204</v>
      </c>
      <c r="W202">
        <f>IF(OR('EU MDM-832'!D212&gt;Data!$AC$27,'EU MDM-832'!F212&gt;Data!$AC$27,'EU MDM-832'!H212&gt;Data!$AC$27,'EU MDM-832'!J212&gt;Data!$AC$27,'EU MDM-832'!L212&gt;Data!$AC$27,'EU MDM-832'!N212&gt;Data!$AC$27,'EU MDM-832'!P212&gt;Data!$AC$27,'EU MDM-832'!R212&gt;Data!$AC$27),1,0)</f>
        <v>0</v>
      </c>
    </row>
    <row r="203" spans="1:23" ht="6" customHeight="1" x14ac:dyDescent="0.2">
      <c r="A203" s="1"/>
      <c r="B203" s="2"/>
      <c r="C203" s="1"/>
      <c r="D203" s="3"/>
      <c r="E203" s="4"/>
      <c r="F203" s="5"/>
      <c r="G203" s="4"/>
      <c r="H203" s="5"/>
      <c r="I203" s="4"/>
      <c r="J203" s="5"/>
      <c r="K203" s="6"/>
      <c r="L203" s="3"/>
      <c r="M203" s="4"/>
      <c r="N203" s="5"/>
      <c r="O203" s="4"/>
      <c r="P203" s="5"/>
      <c r="Q203" s="4"/>
      <c r="R203" s="5"/>
      <c r="S203" s="6"/>
      <c r="T203" s="1"/>
    </row>
    <row r="204" spans="1:23" x14ac:dyDescent="0.2">
      <c r="A204" s="1"/>
      <c r="B204" s="23" t="s">
        <v>211</v>
      </c>
      <c r="C204" s="1"/>
      <c r="D204" s="12">
        <f>(((VLOOKUP(D199,Data!$R$4:$U$62,2,FALSE)*E199)+(VLOOKUP(D200,Data!$R$4:$U$62,2,FALSE)*E200))/E192)*Data!$R$3</f>
        <v>1.1000000000000001</v>
      </c>
      <c r="E204" s="13" t="str">
        <f>IF(H194&gt;Data!$AC$23,"&lt;&lt;&lt;","A RMS")</f>
        <v>A RMS</v>
      </c>
      <c r="F204" s="14">
        <f>(((VLOOKUP(F199,Data!$R$4:$U$62,2,FALSE)*G199)+(VLOOKUP(F200,Data!$R$4:$U$62,2,FALSE)*G200))/E192)*Data!$R$3</f>
        <v>1.1000000000000001</v>
      </c>
      <c r="G204" s="13" t="str">
        <f>IF(H194&gt;Data!$AC$23,"&lt;&lt;&lt;","A RMS")</f>
        <v>A RMS</v>
      </c>
      <c r="H204" s="14">
        <f>(((VLOOKUP(H199,Data!$R$4:$U$62,2,FALSE)*I199)+(VLOOKUP(H200,Data!$R$4:$U$62,2,FALSE)*I200))/E192)*Data!$R$3</f>
        <v>1.1000000000000001</v>
      </c>
      <c r="I204" s="13" t="str">
        <f>IF(H194&gt;Data!$AC$23,"&lt;&lt;&lt;","A RMS")</f>
        <v>A RMS</v>
      </c>
      <c r="J204" s="14">
        <f>(((VLOOKUP(J199,Data!$R$4:$U$62,2,FALSE)*K199)+(VLOOKUP(J200,Data!$R$4:$U$62,2,FALSE)*K200))/E192)*Data!$R$3</f>
        <v>1.1000000000000001</v>
      </c>
      <c r="K204" s="15" t="str">
        <f>IF(H194&gt;Data!$AC$23,"&lt;&lt;&lt;","A RMS")</f>
        <v>A RMS</v>
      </c>
      <c r="L204" s="12">
        <f>(((VLOOKUP(L199,Data!$R$4:$U$62,2,FALSE)*M199)+(VLOOKUP(L200,Data!$R$4:$U$62,2,FALSE)*M200))/E192)*Data!$R$3</f>
        <v>1.1000000000000001</v>
      </c>
      <c r="M204" s="13" t="str">
        <f>IF(N194&gt;Data!$AC$23,"&lt;&lt;&lt;","A RMS")</f>
        <v>A RMS</v>
      </c>
      <c r="N204" s="14">
        <f>(((VLOOKUP(N199,Data!$R$4:$U$62,2,FALSE)*O199)+(VLOOKUP(N200,Data!$R$4:$U$62,2,FALSE)*O200))/E192)*Data!$R$3</f>
        <v>1.1000000000000001</v>
      </c>
      <c r="O204" s="13" t="str">
        <f>IF(N194&gt;Data!$AC$23,"&lt;&lt;&lt;","A RMS")</f>
        <v>A RMS</v>
      </c>
      <c r="P204" s="14">
        <f>(((VLOOKUP(P199,Data!$R$4:$U$62,2,FALSE)*Q199)+(VLOOKUP(P200,Data!$R$4:$U$62,2,FALSE)*Q200))/E192)*Data!$R$3</f>
        <v>1.1000000000000001</v>
      </c>
      <c r="Q204" s="13" t="str">
        <f>IF(N194&gt;Data!$AC$23,"&lt;&lt;&lt;","A RMS")</f>
        <v>A RMS</v>
      </c>
      <c r="R204" s="14">
        <f>(((VLOOKUP(R199,Data!$R$4:$U$62,2,FALSE)*S199)+(VLOOKUP(R200,Data!$R$4:$U$62,2,FALSE)*S200))/E192)*Data!$R$3</f>
        <v>1.1000000000000001</v>
      </c>
      <c r="S204" s="15" t="str">
        <f>IF(N194&gt;Data!$AC$23,"&lt;&lt;&lt;","A RMS")</f>
        <v>A RMS</v>
      </c>
      <c r="T204" s="1"/>
      <c r="V204" t="s">
        <v>208</v>
      </c>
      <c r="W204">
        <f>SUM(W199:W202)</f>
        <v>0</v>
      </c>
    </row>
    <row r="205" spans="1:23" x14ac:dyDescent="0.2">
      <c r="A205" s="1"/>
      <c r="B205" s="23" t="s">
        <v>199</v>
      </c>
      <c r="C205" s="1"/>
      <c r="D205" s="12">
        <f>(((VLOOKUP(D199,Data!$R$4:$U$62,3,FALSE)*E199)+(VLOOKUP(D200,Data!$R$4:$U$62,3,FALSE)*E200))/E192)*Data!$R$3</f>
        <v>2.4</v>
      </c>
      <c r="E205" s="13" t="s">
        <v>116</v>
      </c>
      <c r="F205" s="14">
        <f>(((VLOOKUP(F199,Data!$R$4:$U$62,3,FALSE)*G199)+(VLOOKUP(F200,Data!$R$4:$U$62,3,FALSE)*G200))/E192)*Data!$R$3</f>
        <v>2.4</v>
      </c>
      <c r="G205" s="13" t="s">
        <v>116</v>
      </c>
      <c r="H205" s="14">
        <f>(((VLOOKUP(H199,Data!$R$4:$U$62,3,FALSE)*I199)+(VLOOKUP(H200,Data!$R$4:$U$62,3,FALSE)*I200))/E192)*Data!$R$3</f>
        <v>2.4</v>
      </c>
      <c r="I205" s="13" t="s">
        <v>116</v>
      </c>
      <c r="J205" s="14">
        <f>(((VLOOKUP(J199,Data!$R$4:$U$62,3,FALSE)*K199)+(VLOOKUP(J200,Data!$R$4:$U$62,3,FALSE)*K200))/E192)*Data!$R$3</f>
        <v>2.4</v>
      </c>
      <c r="K205" s="15" t="s">
        <v>116</v>
      </c>
      <c r="L205" s="12">
        <f>(((VLOOKUP(L199,Data!$R$4:$U$62,3,FALSE)*M199)+(VLOOKUP(L200,Data!$R$4:$U$62,3,FALSE)*M200))/E192)*Data!$R$3</f>
        <v>2.4</v>
      </c>
      <c r="M205" s="13" t="s">
        <v>116</v>
      </c>
      <c r="N205" s="14">
        <f>(((VLOOKUP(N199,Data!$R$4:$U$62,3,FALSE)*O199)+(VLOOKUP(N200,Data!$R$4:$U$62,3,FALSE)*O200))/E192)*Data!$R$3</f>
        <v>2.4</v>
      </c>
      <c r="O205" s="13" t="s">
        <v>116</v>
      </c>
      <c r="P205" s="14">
        <f>(((VLOOKUP(P199,Data!$R$4:$U$62,3,FALSE)*Q199)+(VLOOKUP(P200,Data!$R$4:$U$62,3,FALSE)*Q200))/E192)*Data!$R$3</f>
        <v>2.4</v>
      </c>
      <c r="Q205" s="13" t="s">
        <v>116</v>
      </c>
      <c r="R205" s="14">
        <f>(((VLOOKUP(R199,Data!$R$4:$U$62,3,FALSE)*S199)+(VLOOKUP(R200,Data!$R$4:$U$62,3,FALSE)*S200))/E192)*Data!$R$3</f>
        <v>2.4</v>
      </c>
      <c r="S205" s="15" t="s">
        <v>116</v>
      </c>
      <c r="T205" s="1"/>
    </row>
    <row r="206" spans="1:23" x14ac:dyDescent="0.2">
      <c r="A206" s="1"/>
      <c r="B206" s="23" t="s">
        <v>200</v>
      </c>
      <c r="C206" s="1"/>
      <c r="D206" s="12">
        <f>(((VLOOKUP(D199,Data!$R$4:$U$62,4,FALSE)*E199)+(VLOOKUP(D200,Data!$R$4:$U$62,4,FALSE)*E200))/E192)*Data!$R$3</f>
        <v>2.4</v>
      </c>
      <c r="E206" s="13" t="s">
        <v>117</v>
      </c>
      <c r="F206" s="14">
        <f>(((VLOOKUP(F199,Data!$R$4:$U$62,4,FALSE)*G199)+(VLOOKUP(F200,Data!$R$4:$U$62,4,FALSE)*G200))/E192)*Data!$R$3</f>
        <v>2.4</v>
      </c>
      <c r="G206" s="13" t="s">
        <v>117</v>
      </c>
      <c r="H206" s="14">
        <f>(((VLOOKUP(H199,Data!$R$4:$U$62,4,FALSE)*I199)+(VLOOKUP(H200,Data!$R$4:$U$62,4,FALSE)*I200))/E192)*Data!$R$3</f>
        <v>2.4</v>
      </c>
      <c r="I206" s="13" t="s">
        <v>117</v>
      </c>
      <c r="J206" s="14">
        <f>(((VLOOKUP(J199,Data!$R$4:$U$62,4,FALSE)*K199)+(VLOOKUP(J200,Data!$R$4:$U$62,4,FALSE)*K200))/E192)*Data!$R$3</f>
        <v>2.4</v>
      </c>
      <c r="K206" s="15" t="s">
        <v>117</v>
      </c>
      <c r="L206" s="12">
        <f>(((VLOOKUP(L199,Data!$R$4:$U$62,4,FALSE)*M199)+(VLOOKUP(L200,Data!$R$4:$U$62,4,FALSE)*M200))/E192)*Data!$R$3</f>
        <v>2.4</v>
      </c>
      <c r="M206" s="13" t="s">
        <v>117</v>
      </c>
      <c r="N206" s="14">
        <f>(((VLOOKUP(N199,Data!$R$4:$U$62,4,FALSE)*O199)+(VLOOKUP(N200,Data!$R$4:$U$62,4,FALSE)*O200))/E192)*Data!$R$3</f>
        <v>2.4</v>
      </c>
      <c r="O206" s="13" t="s">
        <v>117</v>
      </c>
      <c r="P206" s="14">
        <f>(((VLOOKUP(P199,Data!$R$4:$U$62,4,FALSE)*Q199)+(VLOOKUP(P200,Data!$R$4:$U$62,4,FALSE)*Q200))/E192)*Data!$R$3</f>
        <v>2.4</v>
      </c>
      <c r="Q206" s="13" t="s">
        <v>117</v>
      </c>
      <c r="R206" s="14">
        <f>(((VLOOKUP(R199,Data!$R$4:$U$62,4,FALSE)*S199)+(VLOOKUP(R200,Data!$R$4:$U$62,4,FALSE)*S200))/E192)*Data!$R$3</f>
        <v>2.4</v>
      </c>
      <c r="S206" s="15" t="s">
        <v>117</v>
      </c>
      <c r="T206" s="1"/>
    </row>
    <row r="207" spans="1:23" ht="6" customHeight="1" x14ac:dyDescent="0.2">
      <c r="A207" s="1"/>
      <c r="B207" s="2"/>
      <c r="C207" s="1"/>
      <c r="D207" s="43"/>
      <c r="E207" s="44"/>
      <c r="F207" s="45"/>
      <c r="G207" s="44"/>
      <c r="H207" s="45"/>
      <c r="I207" s="44"/>
      <c r="J207" s="45"/>
      <c r="K207" s="46"/>
      <c r="L207" s="43"/>
      <c r="M207" s="44"/>
      <c r="N207" s="45"/>
      <c r="O207" s="47"/>
      <c r="P207" s="45"/>
      <c r="Q207" s="44"/>
      <c r="R207" s="45"/>
      <c r="S207" s="46"/>
      <c r="T207" s="1"/>
    </row>
    <row r="208" spans="1:23" x14ac:dyDescent="0.2">
      <c r="A208" s="1"/>
      <c r="B208" s="23" t="s">
        <v>212</v>
      </c>
      <c r="C208" s="1"/>
      <c r="D208" s="17">
        <f>(17*(10^-8))*((2*D201)/(R192*(10^-5)))</f>
        <v>0.40800000000000003</v>
      </c>
      <c r="E208" s="16" t="s">
        <v>213</v>
      </c>
      <c r="F208" s="18">
        <f>(17*(10^-8))*((2*F201)/(R192*(10^-5)))</f>
        <v>0.40800000000000003</v>
      </c>
      <c r="G208" s="16" t="s">
        <v>213</v>
      </c>
      <c r="H208" s="18">
        <f>(17*(10^-8))*((2*H201)/(R192*(10^-5)))</f>
        <v>0.40800000000000003</v>
      </c>
      <c r="I208" s="16" t="s">
        <v>213</v>
      </c>
      <c r="J208" s="18">
        <f>(17*(10^-8))*((2*J201)/(R192*(10^-5)))</f>
        <v>0.40800000000000003</v>
      </c>
      <c r="K208" s="15" t="s">
        <v>213</v>
      </c>
      <c r="L208" s="17">
        <f>(17*(10^-8))*((2*L201)/(R192*(10^-5)))</f>
        <v>0.40800000000000003</v>
      </c>
      <c r="M208" s="16" t="s">
        <v>213</v>
      </c>
      <c r="N208" s="18">
        <f>(17*(10^-8))*((2*N201)/(R192*(10^-5)))</f>
        <v>0.40800000000000003</v>
      </c>
      <c r="O208" s="13" t="s">
        <v>213</v>
      </c>
      <c r="P208" s="18">
        <f>(17*(10^-8))*((2*P201)/(R192*(10^-5)))</f>
        <v>0.40800000000000003</v>
      </c>
      <c r="Q208" s="16" t="s">
        <v>213</v>
      </c>
      <c r="R208" s="18">
        <f>(17*(10^-8))*((2*R201)/(R192*(10^-5)))</f>
        <v>0.40800000000000003</v>
      </c>
      <c r="S208" s="15" t="s">
        <v>213</v>
      </c>
      <c r="T208" s="1"/>
    </row>
    <row r="209" spans="1:36" x14ac:dyDescent="0.2">
      <c r="A209" s="1"/>
      <c r="B209" s="23" t="s">
        <v>214</v>
      </c>
      <c r="C209" s="1"/>
      <c r="D209" s="19">
        <f>E192*SQRT(2)</f>
        <v>325.26911934581187</v>
      </c>
      <c r="E209" s="16" t="s">
        <v>215</v>
      </c>
      <c r="F209" s="20">
        <f>E192*SQRT(2)</f>
        <v>325.26911934581187</v>
      </c>
      <c r="G209" s="16" t="s">
        <v>215</v>
      </c>
      <c r="H209" s="20">
        <f>E192*SQRT(2)</f>
        <v>325.26911934581187</v>
      </c>
      <c r="I209" s="16" t="s">
        <v>215</v>
      </c>
      <c r="J209" s="20">
        <f>E192*SQRT(2)</f>
        <v>325.26911934581187</v>
      </c>
      <c r="K209" s="15" t="s">
        <v>215</v>
      </c>
      <c r="L209" s="19">
        <f>E192*SQRT(2)</f>
        <v>325.26911934581187</v>
      </c>
      <c r="M209" s="16" t="s">
        <v>215</v>
      </c>
      <c r="N209" s="20">
        <f>E192*SQRT(2)</f>
        <v>325.26911934581187</v>
      </c>
      <c r="O209" s="16" t="s">
        <v>215</v>
      </c>
      <c r="P209" s="20">
        <f>E192*SQRT(2)</f>
        <v>325.26911934581187</v>
      </c>
      <c r="Q209" s="16" t="s">
        <v>215</v>
      </c>
      <c r="R209" s="20">
        <f>E192*SQRT(2)</f>
        <v>325.26911934581187</v>
      </c>
      <c r="S209" s="15" t="s">
        <v>215</v>
      </c>
      <c r="T209" s="1"/>
    </row>
    <row r="210" spans="1:36" x14ac:dyDescent="0.2">
      <c r="A210" s="1"/>
      <c r="B210" s="23" t="s">
        <v>223</v>
      </c>
      <c r="C210" s="1"/>
      <c r="D210" s="12">
        <f>D206*D208</f>
        <v>0.97920000000000007</v>
      </c>
      <c r="E210" s="16" t="s">
        <v>215</v>
      </c>
      <c r="F210" s="14">
        <f>F206*F208</f>
        <v>0.97920000000000007</v>
      </c>
      <c r="G210" s="16" t="s">
        <v>215</v>
      </c>
      <c r="H210" s="14">
        <f>H206*H208</f>
        <v>0.97920000000000007</v>
      </c>
      <c r="I210" s="16" t="s">
        <v>215</v>
      </c>
      <c r="J210" s="14">
        <f>J206*J208</f>
        <v>0.97920000000000007</v>
      </c>
      <c r="K210" s="15" t="s">
        <v>215</v>
      </c>
      <c r="L210" s="12">
        <f>L206*L208</f>
        <v>0.97920000000000007</v>
      </c>
      <c r="M210" s="16" t="s">
        <v>215</v>
      </c>
      <c r="N210" s="14">
        <f>N206*N208</f>
        <v>0.97920000000000007</v>
      </c>
      <c r="O210" s="16" t="s">
        <v>215</v>
      </c>
      <c r="P210" s="14">
        <f>P206*P208</f>
        <v>0.97920000000000007</v>
      </c>
      <c r="Q210" s="16" t="s">
        <v>215</v>
      </c>
      <c r="R210" s="14">
        <f>R206*R208</f>
        <v>0.97920000000000007</v>
      </c>
      <c r="S210" s="15" t="s">
        <v>215</v>
      </c>
      <c r="T210" s="1"/>
    </row>
    <row r="211" spans="1:36" x14ac:dyDescent="0.2">
      <c r="A211" s="1"/>
      <c r="B211" s="23" t="s">
        <v>225</v>
      </c>
      <c r="C211" s="1"/>
      <c r="D211" s="19">
        <f>D209-D210</f>
        <v>324.28991934581188</v>
      </c>
      <c r="E211" s="16" t="s">
        <v>215</v>
      </c>
      <c r="F211" s="20">
        <f>F209-F210</f>
        <v>324.28991934581188</v>
      </c>
      <c r="G211" s="16" t="s">
        <v>215</v>
      </c>
      <c r="H211" s="20">
        <f>H209-H210</f>
        <v>324.28991934581188</v>
      </c>
      <c r="I211" s="16" t="s">
        <v>215</v>
      </c>
      <c r="J211" s="20">
        <f>J209-J210</f>
        <v>324.28991934581188</v>
      </c>
      <c r="K211" s="15" t="s">
        <v>215</v>
      </c>
      <c r="L211" s="19">
        <f>L209-L210</f>
        <v>324.28991934581188</v>
      </c>
      <c r="M211" s="16" t="s">
        <v>215</v>
      </c>
      <c r="N211" s="20">
        <f>N209-N210</f>
        <v>324.28991934581188</v>
      </c>
      <c r="O211" s="16" t="s">
        <v>215</v>
      </c>
      <c r="P211" s="20">
        <f>P209-P210</f>
        <v>324.28991934581188</v>
      </c>
      <c r="Q211" s="16" t="s">
        <v>215</v>
      </c>
      <c r="R211" s="20">
        <f>R209-R210</f>
        <v>324.28991934581188</v>
      </c>
      <c r="S211" s="15" t="s">
        <v>215</v>
      </c>
      <c r="T211" s="1"/>
    </row>
    <row r="212" spans="1:36" ht="17" thickBot="1" x14ac:dyDescent="0.25">
      <c r="A212" s="1"/>
      <c r="B212" s="24" t="s">
        <v>227</v>
      </c>
      <c r="C212" s="1"/>
      <c r="D212" s="141">
        <f>(D210*100)/D209</f>
        <v>0.30104302614689882</v>
      </c>
      <c r="E212" s="21" t="str">
        <f>IF(D212&gt;Data!$AC$27,"&lt;OVER!","% V Pk")</f>
        <v>% V Pk</v>
      </c>
      <c r="F212" s="142">
        <f>(F210*100)/F209</f>
        <v>0.30104302614689882</v>
      </c>
      <c r="G212" s="21" t="str">
        <f>IF(F212&gt;Data!$AC$27,"&lt;OVER!","% V Pk")</f>
        <v>% V Pk</v>
      </c>
      <c r="H212" s="142">
        <f>(H210*100)/H209</f>
        <v>0.30104302614689882</v>
      </c>
      <c r="I212" s="21" t="str">
        <f>IF(H212&gt;Data!$AC$27,"&lt;OVER!","% V Pk")</f>
        <v>% V Pk</v>
      </c>
      <c r="J212" s="142">
        <f>(J210*100)/J209</f>
        <v>0.30104302614689882</v>
      </c>
      <c r="K212" s="21" t="str">
        <f>IF(J212&gt;Data!$AC$27,"&lt;OVER!","% V Pk")</f>
        <v>% V Pk</v>
      </c>
      <c r="L212" s="141">
        <f>(L210*100)/L209</f>
        <v>0.30104302614689882</v>
      </c>
      <c r="M212" s="21" t="str">
        <f>IF(L212&gt;Data!$AC$27,"&lt;OVER!","% V Pk")</f>
        <v>% V Pk</v>
      </c>
      <c r="N212" s="142">
        <f>(N210*100)/N209</f>
        <v>0.30104302614689882</v>
      </c>
      <c r="O212" s="21" t="str">
        <f>IF(N212&gt;Data!$AC$27,"&lt;OVER!","% V Pk")</f>
        <v>% V Pk</v>
      </c>
      <c r="P212" s="142">
        <f>(P210*100)/P209</f>
        <v>0.30104302614689882</v>
      </c>
      <c r="Q212" s="21" t="str">
        <f>IF(P212&gt;Data!$AC$27,"&lt;OVER!","% V Pk")</f>
        <v>% V Pk</v>
      </c>
      <c r="R212" s="142">
        <f>(R210*100)/R209</f>
        <v>0.30104302614689882</v>
      </c>
      <c r="S212" s="22" t="str">
        <f>IF(R212&gt;Data!$AC$27,"&lt;OVER!","% V Pk")</f>
        <v>% V Pk</v>
      </c>
      <c r="T212" s="1"/>
      <c r="U212" s="571" t="s">
        <v>247</v>
      </c>
      <c r="W212" s="89"/>
      <c r="X212" s="90" t="s">
        <v>162</v>
      </c>
      <c r="Y212" s="90" t="s">
        <v>248</v>
      </c>
      <c r="Z212" s="90" t="s">
        <v>249</v>
      </c>
      <c r="AA212" s="90"/>
      <c r="AB212" s="89"/>
      <c r="AC212" s="90" t="s">
        <v>217</v>
      </c>
      <c r="AD212" s="90" t="s">
        <v>218</v>
      </c>
      <c r="AE212" s="90" t="s">
        <v>219</v>
      </c>
      <c r="AF212" s="90" t="s">
        <v>220</v>
      </c>
      <c r="AG212" s="90" t="s">
        <v>221</v>
      </c>
      <c r="AH212" s="90" t="s">
        <v>222</v>
      </c>
      <c r="AI212" s="90" t="s">
        <v>250</v>
      </c>
      <c r="AJ212" s="90" t="s">
        <v>251</v>
      </c>
    </row>
    <row r="213" spans="1:36" x14ac:dyDescent="0.2">
      <c r="A213" s="1"/>
      <c r="B213" s="1"/>
      <c r="C213" s="1"/>
      <c r="D213" s="1"/>
      <c r="E213" s="1"/>
      <c r="F213" s="1"/>
      <c r="G213" s="1"/>
      <c r="H213" s="1"/>
      <c r="I213" s="1"/>
      <c r="J213" s="1"/>
      <c r="K213" s="1"/>
      <c r="L213" s="1"/>
      <c r="M213" s="1"/>
      <c r="N213" s="1"/>
      <c r="O213" s="1"/>
      <c r="P213" s="1"/>
      <c r="Q213" s="1"/>
      <c r="R213" s="1"/>
      <c r="S213" s="1"/>
      <c r="T213" s="1"/>
      <c r="U213" s="571"/>
      <c r="W213" s="89" t="s">
        <v>224</v>
      </c>
      <c r="X213" s="90">
        <f>Data!$AC$6</f>
        <v>32</v>
      </c>
      <c r="Y213" s="90">
        <f>Data!$AC$23</f>
        <v>15</v>
      </c>
      <c r="Z213" s="90">
        <f>Data!$AC$23</f>
        <v>15</v>
      </c>
      <c r="AA213" s="90"/>
      <c r="AB213" s="89" t="s">
        <v>109</v>
      </c>
      <c r="AC213" s="91">
        <f>'EU MDM-832'!D204</f>
        <v>1.1000000000000001</v>
      </c>
      <c r="AD213" s="90">
        <f>'EU MDM-832'!F204</f>
        <v>1.1000000000000001</v>
      </c>
      <c r="AE213" s="90">
        <f>'EU MDM-832'!H204</f>
        <v>1.1000000000000001</v>
      </c>
      <c r="AF213" s="90">
        <f>'EU MDM-832'!J204</f>
        <v>1.1000000000000001</v>
      </c>
      <c r="AG213" s="90">
        <f>'EU MDM-832'!L204</f>
        <v>1.1000000000000001</v>
      </c>
      <c r="AH213" s="90">
        <f>'EU MDM-832'!N204</f>
        <v>1.1000000000000001</v>
      </c>
      <c r="AI213" s="90">
        <f>'EU MDM-832'!P204</f>
        <v>1.1000000000000001</v>
      </c>
      <c r="AJ213" s="90">
        <f>'EU MDM-832'!R204</f>
        <v>1.1000000000000001</v>
      </c>
    </row>
    <row r="214" spans="1:36" x14ac:dyDescent="0.2">
      <c r="A214" s="1"/>
      <c r="B214" s="1"/>
      <c r="C214" s="1"/>
      <c r="D214" s="1"/>
      <c r="E214" s="1"/>
      <c r="F214" s="1"/>
      <c r="G214" s="1"/>
      <c r="H214" s="1"/>
      <c r="I214" s="1"/>
      <c r="J214" s="1"/>
      <c r="K214" s="1"/>
      <c r="L214" s="1"/>
      <c r="M214" s="1"/>
      <c r="N214" s="1"/>
      <c r="O214" s="1"/>
      <c r="P214" s="1"/>
      <c r="Q214" s="1"/>
      <c r="R214" s="1"/>
      <c r="S214" s="1"/>
      <c r="T214" s="1"/>
      <c r="U214" s="571"/>
      <c r="W214" s="89"/>
      <c r="X214" s="90"/>
      <c r="Y214" s="90"/>
      <c r="Z214" s="90"/>
      <c r="AA214" s="90"/>
      <c r="AB214" s="89"/>
      <c r="AC214" s="90"/>
      <c r="AD214" s="90"/>
      <c r="AE214" s="90"/>
      <c r="AF214" s="90"/>
      <c r="AG214" s="90"/>
      <c r="AH214" s="90"/>
      <c r="AI214" s="90"/>
      <c r="AJ214" s="90"/>
    </row>
    <row r="215" spans="1:36" x14ac:dyDescent="0.2">
      <c r="A215" s="1"/>
      <c r="B215" s="1"/>
      <c r="C215" s="1"/>
      <c r="D215" s="1"/>
      <c r="E215" s="1"/>
      <c r="F215" s="1"/>
      <c r="G215" s="1"/>
      <c r="H215" s="1"/>
      <c r="I215" s="1"/>
      <c r="J215" s="1"/>
      <c r="K215" s="1"/>
      <c r="L215" s="1"/>
      <c r="M215" s="1"/>
      <c r="N215" s="1"/>
      <c r="O215" s="1"/>
      <c r="P215" s="1"/>
      <c r="Q215" s="1"/>
      <c r="R215" s="1"/>
      <c r="S215" s="1"/>
      <c r="T215" s="1"/>
      <c r="U215" s="571"/>
      <c r="W215" s="89" t="str">
        <f>'EU MDM-832'!B194</f>
        <v>MLTC + 30%</v>
      </c>
      <c r="X215" s="91">
        <f>'EU MDM-832'!D194</f>
        <v>11.44</v>
      </c>
      <c r="Y215" s="91">
        <f>'EU MDM-832'!H194</f>
        <v>4.4000000000000004</v>
      </c>
      <c r="Z215" s="92">
        <f>'EU MDM-832'!$N194</f>
        <v>4.4000000000000004</v>
      </c>
      <c r="AA215" s="90"/>
      <c r="AB215" s="89"/>
      <c r="AC215" s="90"/>
      <c r="AD215" s="90"/>
      <c r="AE215" s="90"/>
      <c r="AF215" s="90"/>
      <c r="AG215" s="90"/>
      <c r="AH215" s="90"/>
      <c r="AI215" s="90"/>
      <c r="AJ215" s="90"/>
    </row>
    <row r="216" spans="1:36" x14ac:dyDescent="0.2">
      <c r="A216" s="1"/>
      <c r="B216" s="1"/>
      <c r="C216" s="1"/>
      <c r="D216" s="1"/>
      <c r="E216" s="1"/>
      <c r="F216" s="1"/>
      <c r="G216" s="1"/>
      <c r="H216" s="1"/>
      <c r="I216" s="1"/>
      <c r="J216" s="1"/>
      <c r="K216" s="1"/>
      <c r="L216" s="1"/>
      <c r="M216" s="1"/>
      <c r="N216" s="1"/>
      <c r="O216" s="1"/>
      <c r="P216" s="1"/>
      <c r="Q216" s="1"/>
      <c r="R216" s="1"/>
      <c r="S216" s="1"/>
      <c r="T216" s="1"/>
      <c r="U216" s="571"/>
      <c r="W216" s="89" t="str">
        <f>'EU MDM-832'!B195</f>
        <v>Burst RMS</v>
      </c>
      <c r="X216" s="91">
        <f>'EU MDM-832'!D195</f>
        <v>19.2</v>
      </c>
      <c r="Y216" s="91">
        <f>'EU MDM-832'!H195</f>
        <v>9.6</v>
      </c>
      <c r="Z216" s="92">
        <f>'EU MDM-832'!$N195</f>
        <v>9.6</v>
      </c>
      <c r="AA216" s="90"/>
      <c r="AB216" s="89" t="s">
        <v>228</v>
      </c>
      <c r="AC216" s="90">
        <f>(100*AC213)/$Y213</f>
        <v>7.3333333333333339</v>
      </c>
      <c r="AD216" s="90">
        <f>(100*AD213)/$Y213</f>
        <v>7.3333333333333339</v>
      </c>
      <c r="AE216" s="90">
        <f>(100*AE213)/$Y213</f>
        <v>7.3333333333333339</v>
      </c>
      <c r="AF216" s="90">
        <f>(100*AF213)/$Y213</f>
        <v>7.3333333333333339</v>
      </c>
      <c r="AG216" s="90">
        <f>(100*AG213)/$Z213</f>
        <v>7.3333333333333339</v>
      </c>
      <c r="AH216" s="90">
        <f>(100*AH213)/$Z213</f>
        <v>7.3333333333333339</v>
      </c>
      <c r="AI216" s="90">
        <f>(100*AI213)/$Z213</f>
        <v>7.3333333333333339</v>
      </c>
      <c r="AJ216" s="90">
        <f>(100*AJ213)/$Z213</f>
        <v>7.3333333333333339</v>
      </c>
    </row>
    <row r="217" spans="1:36" x14ac:dyDescent="0.2">
      <c r="A217" s="1"/>
      <c r="B217" s="1"/>
      <c r="C217" s="1"/>
      <c r="D217" s="1"/>
      <c r="E217" s="1"/>
      <c r="F217" s="1"/>
      <c r="G217" s="1"/>
      <c r="H217" s="1"/>
      <c r="I217" s="1"/>
      <c r="J217" s="1"/>
      <c r="K217" s="1"/>
      <c r="L217" s="1"/>
      <c r="M217" s="1"/>
      <c r="N217" s="1"/>
      <c r="O217" s="1"/>
      <c r="P217" s="1"/>
      <c r="Q217" s="1"/>
      <c r="R217" s="1"/>
      <c r="S217" s="1"/>
      <c r="T217" s="1"/>
      <c r="U217" s="571"/>
      <c r="W217" s="89" t="str">
        <f>'EU MDM-832'!B196</f>
        <v>Max Inst Pk</v>
      </c>
      <c r="X217" s="91">
        <f>'EU MDM-832'!D196</f>
        <v>19.2</v>
      </c>
      <c r="Y217" s="91">
        <f>'EU MDM-832'!H196</f>
        <v>9.6</v>
      </c>
      <c r="Z217" s="92">
        <f>'EU MDM-832'!$N196</f>
        <v>9.6</v>
      </c>
      <c r="AA217" s="90"/>
      <c r="AB217" s="89" t="s">
        <v>229</v>
      </c>
      <c r="AC217" s="90">
        <f t="shared" ref="AC217:AJ217" si="25">AC216-100</f>
        <v>-92.666666666666671</v>
      </c>
      <c r="AD217" s="90">
        <f t="shared" si="25"/>
        <v>-92.666666666666671</v>
      </c>
      <c r="AE217" s="90">
        <f t="shared" si="25"/>
        <v>-92.666666666666671</v>
      </c>
      <c r="AF217" s="90">
        <f t="shared" si="25"/>
        <v>-92.666666666666671</v>
      </c>
      <c r="AG217" s="90">
        <f t="shared" si="25"/>
        <v>-92.666666666666671</v>
      </c>
      <c r="AH217" s="90">
        <f t="shared" si="25"/>
        <v>-92.666666666666671</v>
      </c>
      <c r="AI217" s="90">
        <f t="shared" si="25"/>
        <v>-92.666666666666671</v>
      </c>
      <c r="AJ217" s="90">
        <f t="shared" si="25"/>
        <v>-92.666666666666671</v>
      </c>
    </row>
    <row r="218" spans="1:36" x14ac:dyDescent="0.2">
      <c r="A218" s="1"/>
      <c r="B218" s="1"/>
      <c r="C218" s="1"/>
      <c r="D218" s="1"/>
      <c r="E218" s="1"/>
      <c r="F218" s="1"/>
      <c r="G218" s="1"/>
      <c r="H218" s="1"/>
      <c r="I218" s="1"/>
      <c r="J218" s="1"/>
      <c r="K218" s="1"/>
      <c r="L218" s="1"/>
      <c r="M218" s="1"/>
      <c r="N218" s="1"/>
      <c r="O218" s="1"/>
      <c r="P218" s="1"/>
      <c r="Q218" s="1"/>
      <c r="R218" s="1"/>
      <c r="S218" s="1"/>
      <c r="T218" s="1"/>
      <c r="U218" s="571"/>
      <c r="W218" s="89" t="s">
        <v>109</v>
      </c>
      <c r="X218" s="91">
        <f>(D204+F204+H204+J204+L204+N204+P204+R204)</f>
        <v>8.7999999999999989</v>
      </c>
      <c r="Y218" s="90"/>
      <c r="Z218" s="90"/>
      <c r="AA218" s="90"/>
      <c r="AB218" s="89" t="s">
        <v>230</v>
      </c>
      <c r="AC218" s="90">
        <f t="shared" ref="AC218:AJ218" si="26">IF(AC217&lt;0,AC216,100)</f>
        <v>7.3333333333333339</v>
      </c>
      <c r="AD218" s="90">
        <f t="shared" si="26"/>
        <v>7.3333333333333339</v>
      </c>
      <c r="AE218" s="90">
        <f t="shared" si="26"/>
        <v>7.3333333333333339</v>
      </c>
      <c r="AF218" s="90">
        <f t="shared" si="26"/>
        <v>7.3333333333333339</v>
      </c>
      <c r="AG218" s="90">
        <f t="shared" si="26"/>
        <v>7.3333333333333339</v>
      </c>
      <c r="AH218" s="90">
        <f t="shared" si="26"/>
        <v>7.3333333333333339</v>
      </c>
      <c r="AI218" s="90">
        <f t="shared" si="26"/>
        <v>7.3333333333333339</v>
      </c>
      <c r="AJ218" s="90">
        <f t="shared" si="26"/>
        <v>7.3333333333333339</v>
      </c>
    </row>
    <row r="219" spans="1:36" x14ac:dyDescent="0.2">
      <c r="A219" s="1"/>
      <c r="B219" s="1"/>
      <c r="C219" s="1"/>
      <c r="D219" s="1"/>
      <c r="E219" s="1"/>
      <c r="F219" s="1"/>
      <c r="G219" s="1"/>
      <c r="H219" s="1"/>
      <c r="I219" s="1"/>
      <c r="J219" s="1"/>
      <c r="K219" s="1"/>
      <c r="L219" s="1"/>
      <c r="M219" s="1"/>
      <c r="N219" s="1"/>
      <c r="O219" s="1"/>
      <c r="P219" s="1"/>
      <c r="Q219" s="1"/>
      <c r="R219" s="1"/>
      <c r="S219" s="1"/>
      <c r="T219" s="1"/>
      <c r="U219" s="571"/>
      <c r="W219" s="89"/>
      <c r="X219" s="90"/>
      <c r="Y219" s="90"/>
      <c r="Z219" s="90"/>
      <c r="AA219" s="90"/>
      <c r="AB219" s="89" t="s">
        <v>231</v>
      </c>
      <c r="AC219" s="90" t="e">
        <f t="shared" ref="AC219:AJ219" si="27">IF(AC216&gt;100,AC216-AC218,NA())</f>
        <v>#N/A</v>
      </c>
      <c r="AD219" s="90" t="e">
        <f t="shared" si="27"/>
        <v>#N/A</v>
      </c>
      <c r="AE219" s="90" t="e">
        <f t="shared" si="27"/>
        <v>#N/A</v>
      </c>
      <c r="AF219" s="90" t="e">
        <f t="shared" si="27"/>
        <v>#N/A</v>
      </c>
      <c r="AG219" s="90" t="e">
        <f t="shared" si="27"/>
        <v>#N/A</v>
      </c>
      <c r="AH219" s="90" t="e">
        <f t="shared" si="27"/>
        <v>#N/A</v>
      </c>
      <c r="AI219" s="90" t="e">
        <f t="shared" si="27"/>
        <v>#N/A</v>
      </c>
      <c r="AJ219" s="90" t="e">
        <f t="shared" si="27"/>
        <v>#N/A</v>
      </c>
    </row>
    <row r="220" spans="1:36" x14ac:dyDescent="0.2">
      <c r="A220" s="1"/>
      <c r="B220" s="1"/>
      <c r="C220" s="1"/>
      <c r="D220" s="1"/>
      <c r="E220" s="1"/>
      <c r="F220" s="1"/>
      <c r="G220" s="1"/>
      <c r="H220" s="1"/>
      <c r="I220" s="1"/>
      <c r="J220" s="1"/>
      <c r="K220" s="1"/>
      <c r="L220" s="1"/>
      <c r="M220" s="1"/>
      <c r="N220" s="1"/>
      <c r="O220" s="1"/>
      <c r="P220" s="1"/>
      <c r="Q220" s="1"/>
      <c r="R220" s="1"/>
      <c r="S220" s="1"/>
      <c r="T220" s="1"/>
      <c r="U220" s="571"/>
      <c r="W220" s="89" t="s">
        <v>228</v>
      </c>
      <c r="X220" s="90">
        <f>(100*X215)/X213</f>
        <v>35.75</v>
      </c>
      <c r="Y220" s="90">
        <f>(100*Y215)/Y213</f>
        <v>29.333333333333336</v>
      </c>
      <c r="Z220" s="90">
        <f>(100*Z215)/Z213</f>
        <v>29.333333333333336</v>
      </c>
      <c r="AA220" s="90"/>
      <c r="AB220" s="89" t="s">
        <v>232</v>
      </c>
      <c r="AC220" s="90">
        <f>Data!$AC$13</f>
        <v>10</v>
      </c>
      <c r="AD220" s="90">
        <f>Data!$AC$13</f>
        <v>10</v>
      </c>
      <c r="AE220" s="90">
        <f>Data!$AC$13</f>
        <v>10</v>
      </c>
      <c r="AF220" s="90">
        <f>Data!$AC$13</f>
        <v>10</v>
      </c>
      <c r="AG220" s="90">
        <f>Data!$AC$13</f>
        <v>10</v>
      </c>
      <c r="AH220" s="90">
        <f>Data!$AC$13</f>
        <v>10</v>
      </c>
      <c r="AI220" s="90">
        <f>Data!$AC$13</f>
        <v>10</v>
      </c>
      <c r="AJ220" s="90">
        <f>Data!$AC$13</f>
        <v>10</v>
      </c>
    </row>
    <row r="221" spans="1:36" x14ac:dyDescent="0.2">
      <c r="A221" s="1"/>
      <c r="B221" s="1"/>
      <c r="C221" s="1"/>
      <c r="D221" s="1"/>
      <c r="E221" s="1"/>
      <c r="F221" s="1"/>
      <c r="G221" s="1"/>
      <c r="H221" s="1"/>
      <c r="I221" s="1"/>
      <c r="J221" s="1"/>
      <c r="K221" s="1"/>
      <c r="L221" s="1"/>
      <c r="M221" s="1"/>
      <c r="N221" s="1"/>
      <c r="O221" s="1"/>
      <c r="P221" s="1"/>
      <c r="Q221" s="1"/>
      <c r="R221" s="1"/>
      <c r="S221" s="1"/>
      <c r="T221" s="1"/>
      <c r="U221" s="571"/>
      <c r="W221" s="89" t="s">
        <v>229</v>
      </c>
      <c r="X221" s="90">
        <f>X220-100</f>
        <v>-64.25</v>
      </c>
      <c r="Y221" s="90">
        <f>Y220-100</f>
        <v>-70.666666666666657</v>
      </c>
      <c r="Z221" s="90">
        <f>Z220-100</f>
        <v>-70.666666666666657</v>
      </c>
      <c r="AA221" s="90"/>
      <c r="AB221" s="89" t="s">
        <v>233</v>
      </c>
      <c r="AC221" s="92">
        <f>-'EU MDM-832'!$D212</f>
        <v>-0.30104302614689882</v>
      </c>
      <c r="AD221" s="92">
        <f>-'EU MDM-832'!$F212</f>
        <v>-0.30104302614689882</v>
      </c>
      <c r="AE221" s="92">
        <f>-'EU MDM-832'!$H212</f>
        <v>-0.30104302614689882</v>
      </c>
      <c r="AF221" s="92">
        <f>-'EU MDM-832'!$J212</f>
        <v>-0.30104302614689882</v>
      </c>
      <c r="AG221" s="92">
        <f>-'EU MDM-832'!$L212</f>
        <v>-0.30104302614689882</v>
      </c>
      <c r="AH221" s="92">
        <f>-'EU MDM-832'!$N212</f>
        <v>-0.30104302614689882</v>
      </c>
      <c r="AI221" s="92">
        <f>-'EU MDM-832'!$P212</f>
        <v>-0.30104302614689882</v>
      </c>
      <c r="AJ221" s="92">
        <f>-'EU MDM-832'!$R212</f>
        <v>-0.30104302614689882</v>
      </c>
    </row>
    <row r="222" spans="1:36" x14ac:dyDescent="0.2">
      <c r="A222" s="1"/>
      <c r="B222" s="1"/>
      <c r="C222" s="1"/>
      <c r="D222" s="1"/>
      <c r="E222" s="1"/>
      <c r="F222" s="1"/>
      <c r="G222" s="1"/>
      <c r="H222" s="1"/>
      <c r="I222" s="1"/>
      <c r="J222" s="1"/>
      <c r="K222" s="1"/>
      <c r="L222" s="1"/>
      <c r="M222" s="1"/>
      <c r="N222" s="1"/>
      <c r="O222" s="1"/>
      <c r="P222" s="1"/>
      <c r="Q222" s="1"/>
      <c r="R222" s="1"/>
      <c r="S222" s="1"/>
      <c r="T222" s="1"/>
      <c r="U222" s="571"/>
      <c r="W222" s="89" t="s">
        <v>230</v>
      </c>
      <c r="X222" s="90">
        <f>IF(X221&lt;0,X220,100)</f>
        <v>35.75</v>
      </c>
      <c r="Y222" s="90">
        <f>IF(Y221&lt;0,Y220,100)</f>
        <v>29.333333333333336</v>
      </c>
      <c r="Z222" s="90">
        <f>IF(Z221&lt;0,Z220,100)</f>
        <v>29.333333333333336</v>
      </c>
      <c r="AA222" s="90"/>
      <c r="AB222" s="89" t="s">
        <v>234</v>
      </c>
      <c r="AC222" s="90">
        <f t="shared" ref="AC222:AJ222" si="28">IF(AC221&gt;-AC220,AC221,-AC220)</f>
        <v>-0.30104302614689882</v>
      </c>
      <c r="AD222" s="90">
        <f t="shared" si="28"/>
        <v>-0.30104302614689882</v>
      </c>
      <c r="AE222" s="90">
        <f t="shared" si="28"/>
        <v>-0.30104302614689882</v>
      </c>
      <c r="AF222" s="90">
        <f t="shared" si="28"/>
        <v>-0.30104302614689882</v>
      </c>
      <c r="AG222" s="90">
        <f t="shared" si="28"/>
        <v>-0.30104302614689882</v>
      </c>
      <c r="AH222" s="90">
        <f t="shared" si="28"/>
        <v>-0.30104302614689882</v>
      </c>
      <c r="AI222" s="90">
        <f t="shared" si="28"/>
        <v>-0.30104302614689882</v>
      </c>
      <c r="AJ222" s="90">
        <f t="shared" si="28"/>
        <v>-0.30104302614689882</v>
      </c>
    </row>
    <row r="223" spans="1:36" x14ac:dyDescent="0.2">
      <c r="A223" s="1"/>
      <c r="B223" s="1"/>
      <c r="C223" s="1"/>
      <c r="D223" s="1"/>
      <c r="E223" s="1"/>
      <c r="F223" s="1"/>
      <c r="G223" s="1"/>
      <c r="H223" s="1"/>
      <c r="I223" s="1"/>
      <c r="J223" s="1"/>
      <c r="K223" s="1"/>
      <c r="L223" s="1"/>
      <c r="M223" s="1"/>
      <c r="N223" s="1"/>
      <c r="O223" s="1"/>
      <c r="P223" s="1"/>
      <c r="Q223" s="1"/>
      <c r="R223" s="1"/>
      <c r="S223" s="1"/>
      <c r="T223" s="1"/>
      <c r="U223" s="571"/>
      <c r="W223" s="89" t="s">
        <v>231</v>
      </c>
      <c r="X223" s="90" t="e">
        <f>IF(X220&gt;100,X220-X222,NA())</f>
        <v>#N/A</v>
      </c>
      <c r="Y223" s="90" t="e">
        <f>IF(Y220&gt;100,Y220-Y222,NA())</f>
        <v>#N/A</v>
      </c>
      <c r="Z223" s="90" t="e">
        <f>IF(Z220&gt;100,Z220-Z222,NA())</f>
        <v>#N/A</v>
      </c>
      <c r="AA223" s="90"/>
      <c r="AB223" s="89" t="s">
        <v>235</v>
      </c>
      <c r="AC223" s="90" t="e">
        <f t="shared" ref="AC223:AJ223" si="29">IF(AC221&gt;-AC220,NA(),AC221+AC220)</f>
        <v>#N/A</v>
      </c>
      <c r="AD223" s="90" t="e">
        <f t="shared" si="29"/>
        <v>#N/A</v>
      </c>
      <c r="AE223" s="90" t="e">
        <f t="shared" si="29"/>
        <v>#N/A</v>
      </c>
      <c r="AF223" s="90" t="e">
        <f t="shared" si="29"/>
        <v>#N/A</v>
      </c>
      <c r="AG223" s="90" t="e">
        <f t="shared" si="29"/>
        <v>#N/A</v>
      </c>
      <c r="AH223" s="90" t="e">
        <f t="shared" si="29"/>
        <v>#N/A</v>
      </c>
      <c r="AI223" s="90" t="e">
        <f t="shared" si="29"/>
        <v>#N/A</v>
      </c>
      <c r="AJ223" s="90" t="e">
        <f t="shared" si="29"/>
        <v>#N/A</v>
      </c>
    </row>
    <row r="224" spans="1:36" x14ac:dyDescent="0.2">
      <c r="A224" s="1"/>
      <c r="B224" s="1"/>
      <c r="C224" s="1"/>
      <c r="D224" s="1"/>
      <c r="E224" s="1"/>
      <c r="F224" s="1"/>
      <c r="G224" s="1"/>
      <c r="H224" s="1"/>
      <c r="I224" s="1"/>
      <c r="J224" s="1"/>
      <c r="K224" s="1"/>
      <c r="L224" s="1"/>
      <c r="M224" s="1"/>
      <c r="N224" s="1"/>
      <c r="O224" s="1"/>
      <c r="P224" s="1"/>
      <c r="Q224" s="1"/>
      <c r="R224" s="1"/>
      <c r="S224" s="1"/>
      <c r="T224" s="1"/>
      <c r="U224" s="571"/>
      <c r="W224" s="89"/>
      <c r="X224" s="90"/>
      <c r="Y224" s="90"/>
      <c r="Z224" s="90"/>
      <c r="AA224" s="90"/>
      <c r="AB224" s="89"/>
    </row>
    <row r="225" spans="1:28" x14ac:dyDescent="0.2">
      <c r="A225" s="1"/>
      <c r="B225" s="1"/>
      <c r="C225" s="1"/>
      <c r="D225" s="1"/>
      <c r="E225" s="1"/>
      <c r="F225" s="1"/>
      <c r="G225" s="1"/>
      <c r="H225" s="1"/>
      <c r="I225" s="1"/>
      <c r="J225" s="1"/>
      <c r="K225" s="1"/>
      <c r="L225" s="1"/>
      <c r="M225" s="1"/>
      <c r="N225" s="1"/>
      <c r="O225" s="1"/>
      <c r="P225" s="1"/>
      <c r="Q225" s="1"/>
      <c r="R225" s="1"/>
      <c r="S225" s="1"/>
      <c r="T225" s="1"/>
      <c r="U225" s="571"/>
      <c r="W225" s="89"/>
      <c r="X225" s="90"/>
      <c r="Y225" s="90"/>
      <c r="Z225" s="90"/>
      <c r="AA225" s="90"/>
      <c r="AB225" s="89"/>
    </row>
    <row r="226" spans="1:28" x14ac:dyDescent="0.2">
      <c r="A226" s="1"/>
      <c r="B226" s="1"/>
      <c r="C226" s="1"/>
      <c r="D226" s="1"/>
      <c r="E226" s="1"/>
      <c r="F226" s="1"/>
      <c r="G226" s="1"/>
      <c r="H226" s="1"/>
      <c r="I226" s="1"/>
      <c r="J226" s="1"/>
      <c r="K226" s="1"/>
      <c r="L226" s="1"/>
      <c r="M226" s="1"/>
      <c r="N226" s="1"/>
      <c r="O226" s="1"/>
      <c r="P226" s="1"/>
      <c r="Q226" s="1"/>
      <c r="R226" s="1"/>
      <c r="S226" s="1"/>
      <c r="T226" s="1"/>
      <c r="U226" s="571"/>
      <c r="W226" s="89"/>
      <c r="X226" s="90"/>
      <c r="Y226" s="90"/>
      <c r="Z226" s="90"/>
      <c r="AA226" s="90"/>
      <c r="AB226" s="89"/>
    </row>
    <row r="227" spans="1:28" x14ac:dyDescent="0.2">
      <c r="A227" s="1"/>
      <c r="B227" s="1"/>
      <c r="C227" s="1"/>
      <c r="D227" s="1"/>
      <c r="E227" s="1"/>
      <c r="F227" s="1"/>
      <c r="G227" s="1"/>
      <c r="H227" s="1"/>
      <c r="I227" s="1"/>
      <c r="J227" s="1"/>
      <c r="K227" s="1"/>
      <c r="L227" s="1"/>
      <c r="M227" s="1"/>
      <c r="N227" s="1"/>
      <c r="O227" s="1"/>
      <c r="P227" s="1"/>
      <c r="Q227" s="1"/>
      <c r="R227" s="1"/>
      <c r="S227" s="1"/>
      <c r="T227" s="1"/>
      <c r="U227" s="571"/>
      <c r="W227" s="89"/>
      <c r="X227" s="90"/>
      <c r="Y227" s="90"/>
      <c r="Z227" s="90"/>
      <c r="AA227" s="90"/>
      <c r="AB227" s="89"/>
    </row>
    <row r="228" spans="1:28" x14ac:dyDescent="0.2">
      <c r="A228" s="1"/>
      <c r="B228" s="71" t="str">
        <f>Data!$T$1</f>
        <v>Meyer Sound Laboratories, Inc. Berkeley, California, USA                                 www.meyersound.com</v>
      </c>
      <c r="C228" s="1"/>
      <c r="D228" s="1"/>
      <c r="E228" s="1"/>
      <c r="F228" s="1"/>
      <c r="G228" s="1"/>
      <c r="H228" s="1"/>
      <c r="I228" s="1"/>
      <c r="J228" s="1"/>
      <c r="K228" s="1"/>
      <c r="L228" s="1"/>
      <c r="M228" s="1"/>
      <c r="N228" s="1"/>
      <c r="O228" s="1"/>
      <c r="P228" s="1"/>
      <c r="Q228" s="1"/>
      <c r="R228" s="1"/>
      <c r="S228" s="1"/>
      <c r="T228" s="126" t="str">
        <f>Data!$G$1</f>
        <v>© 2021</v>
      </c>
      <c r="U228" s="571"/>
    </row>
  </sheetData>
  <sheetProtection algorithmName="SHA-512" hashValue="RBJbsvTlNfNM6TcDg+ZDaQ9fQtfrzPPk+dW4tMxgWng+RT4DMHuP1RSsY7XlkYlDjzPrG3+IG4UQM2VSNti7pQ==" saltValue="ANS4fLRPJIheI7KBFH3J2w==" spinCount="100000" sheet="1" objects="1" scenarios="1" selectLockedCells="1"/>
  <customSheetViews>
    <customSheetView guid="{3AB00655-FA95-794F-AE6B-0DE661FEB534}">
      <selection activeCell="U2" sqref="U2"/>
      <pageMargins left="0" right="0" top="0" bottom="0" header="0" footer="0"/>
      <pageSetup orientation="landscape" horizontalDpi="4294967292" verticalDpi="4294967292"/>
    </customSheetView>
    <customSheetView guid="{638DA5E6-5C83-F34B-A013-9937D26CA5CB}" scale="85" showPageBreaks="1" view="pageLayout">
      <selection activeCell="D9" sqref="D9"/>
    </customSheetView>
  </customSheetViews>
  <mergeCells count="107">
    <mergeCell ref="D50:K50"/>
    <mergeCell ref="L50:S50"/>
    <mergeCell ref="U60:U76"/>
    <mergeCell ref="D46:E46"/>
    <mergeCell ref="F46:G46"/>
    <mergeCell ref="H46:I46"/>
    <mergeCell ref="J46:K46"/>
    <mergeCell ref="L46:M46"/>
    <mergeCell ref="N46:O46"/>
    <mergeCell ref="P46:Q46"/>
    <mergeCell ref="R46:S46"/>
    <mergeCell ref="D12:K12"/>
    <mergeCell ref="L12:S12"/>
    <mergeCell ref="L8:M8"/>
    <mergeCell ref="N8:O8"/>
    <mergeCell ref="P8:Q8"/>
    <mergeCell ref="R8:S8"/>
    <mergeCell ref="J42:M42"/>
    <mergeCell ref="J43:M43"/>
    <mergeCell ref="H40:I40"/>
    <mergeCell ref="Q42:R44"/>
    <mergeCell ref="J44:M44"/>
    <mergeCell ref="F42:G44"/>
    <mergeCell ref="H2:I2"/>
    <mergeCell ref="D8:E8"/>
    <mergeCell ref="F8:G8"/>
    <mergeCell ref="H8:I8"/>
    <mergeCell ref="J8:K8"/>
    <mergeCell ref="J6:M6"/>
    <mergeCell ref="J5:M5"/>
    <mergeCell ref="J4:M4"/>
    <mergeCell ref="Q4:R6"/>
    <mergeCell ref="F4:G6"/>
    <mergeCell ref="D88:K88"/>
    <mergeCell ref="L88:S88"/>
    <mergeCell ref="D84:E84"/>
    <mergeCell ref="F84:G84"/>
    <mergeCell ref="H84:I84"/>
    <mergeCell ref="J84:K84"/>
    <mergeCell ref="L84:M84"/>
    <mergeCell ref="H78:I78"/>
    <mergeCell ref="J80:M80"/>
    <mergeCell ref="Q80:R82"/>
    <mergeCell ref="J81:M81"/>
    <mergeCell ref="J82:M82"/>
    <mergeCell ref="F80:G82"/>
    <mergeCell ref="D126:K126"/>
    <mergeCell ref="L126:S126"/>
    <mergeCell ref="D122:E122"/>
    <mergeCell ref="F122:G122"/>
    <mergeCell ref="H122:I122"/>
    <mergeCell ref="J122:K122"/>
    <mergeCell ref="L122:M122"/>
    <mergeCell ref="U98:U114"/>
    <mergeCell ref="H116:I116"/>
    <mergeCell ref="J118:M118"/>
    <mergeCell ref="Q118:R120"/>
    <mergeCell ref="J119:M119"/>
    <mergeCell ref="J120:M120"/>
    <mergeCell ref="F118:G120"/>
    <mergeCell ref="D164:K164"/>
    <mergeCell ref="L164:S164"/>
    <mergeCell ref="D160:E160"/>
    <mergeCell ref="F160:G160"/>
    <mergeCell ref="H160:I160"/>
    <mergeCell ref="J160:K160"/>
    <mergeCell ref="L160:M160"/>
    <mergeCell ref="U136:U152"/>
    <mergeCell ref="H154:I154"/>
    <mergeCell ref="J156:M156"/>
    <mergeCell ref="Q156:R158"/>
    <mergeCell ref="J157:M157"/>
    <mergeCell ref="J158:M158"/>
    <mergeCell ref="D202:K202"/>
    <mergeCell ref="L202:S202"/>
    <mergeCell ref="D198:E198"/>
    <mergeCell ref="F198:G198"/>
    <mergeCell ref="H198:I198"/>
    <mergeCell ref="J198:K198"/>
    <mergeCell ref="L198:M198"/>
    <mergeCell ref="U174:U190"/>
    <mergeCell ref="H192:I192"/>
    <mergeCell ref="J194:M194"/>
    <mergeCell ref="Q194:R196"/>
    <mergeCell ref="J195:M195"/>
    <mergeCell ref="J196:M196"/>
    <mergeCell ref="F194:G196"/>
    <mergeCell ref="U212:U228"/>
    <mergeCell ref="S4:T6"/>
    <mergeCell ref="S42:T44"/>
    <mergeCell ref="S80:T82"/>
    <mergeCell ref="S118:T120"/>
    <mergeCell ref="S156:T158"/>
    <mergeCell ref="S194:T196"/>
    <mergeCell ref="N198:O198"/>
    <mergeCell ref="P198:Q198"/>
    <mergeCell ref="R198:S198"/>
    <mergeCell ref="N160:O160"/>
    <mergeCell ref="P160:Q160"/>
    <mergeCell ref="R160:S160"/>
    <mergeCell ref="N122:O122"/>
    <mergeCell ref="P122:Q122"/>
    <mergeCell ref="R122:S122"/>
    <mergeCell ref="N84:O84"/>
    <mergeCell ref="P84:Q84"/>
    <mergeCell ref="R84:S84"/>
    <mergeCell ref="U22:U38"/>
  </mergeCells>
  <phoneticPr fontId="5" type="noConversion"/>
  <conditionalFormatting sqref="Q4">
    <cfRule type="expression" dxfId="154" priority="119">
      <formula>W14&gt;0</formula>
    </cfRule>
  </conditionalFormatting>
  <conditionalFormatting sqref="Q4:R6">
    <cfRule type="expression" dxfId="153" priority="120">
      <formula>W14=0</formula>
    </cfRule>
  </conditionalFormatting>
  <conditionalFormatting sqref="Q42">
    <cfRule type="expression" dxfId="152" priority="54">
      <formula>W52&gt;0</formula>
    </cfRule>
  </conditionalFormatting>
  <conditionalFormatting sqref="Q42:R44">
    <cfRule type="expression" dxfId="151" priority="55">
      <formula>W52=0</formula>
    </cfRule>
  </conditionalFormatting>
  <conditionalFormatting sqref="Q80">
    <cfRule type="expression" dxfId="150" priority="43">
      <formula>W90&gt;0</formula>
    </cfRule>
  </conditionalFormatting>
  <conditionalFormatting sqref="Q80:R82">
    <cfRule type="expression" dxfId="149" priority="44">
      <formula>W90=0</formula>
    </cfRule>
  </conditionalFormatting>
  <conditionalFormatting sqref="Q118">
    <cfRule type="expression" dxfId="148" priority="32">
      <formula>W128&gt;0</formula>
    </cfRule>
  </conditionalFormatting>
  <conditionalFormatting sqref="Q118:R120">
    <cfRule type="expression" dxfId="147" priority="33">
      <formula>W128=0</formula>
    </cfRule>
  </conditionalFormatting>
  <conditionalFormatting sqref="Q156">
    <cfRule type="expression" dxfId="146" priority="21">
      <formula>W166&gt;0</formula>
    </cfRule>
  </conditionalFormatting>
  <conditionalFormatting sqref="Q156:R158">
    <cfRule type="expression" dxfId="145" priority="22">
      <formula>W166=0</formula>
    </cfRule>
  </conditionalFormatting>
  <conditionalFormatting sqref="Q194">
    <cfRule type="expression" dxfId="144" priority="10">
      <formula>W204&gt;0</formula>
    </cfRule>
  </conditionalFormatting>
  <conditionalFormatting sqref="Q194:R196">
    <cfRule type="expression" dxfId="143" priority="11">
      <formula>W204=0</formula>
    </cfRule>
  </conditionalFormatting>
  <dataValidations count="3">
    <dataValidation type="whole" operator="greaterThanOrEqual" allowBlank="1" showInputMessage="1" showErrorMessage="1" sqref="E9:E10 D11 F11 G9:G10 I9:I10 H11 K9:K10 M9:M10 L11 O9:O10 N11 Q9:Q10 P11 R11 S9:S10 E47:E48 D49 F49 G47:G48 I47:I48 H49 K47:K48 M47:M48 L49 O47:O48 N49 Q47:Q48 P49 R49 S47:S48 E85:E86 D87 F87 G85:G86 I85:I86 H87 K85:K86 M85:M86 L87 O85:O86 N87 Q85:Q86 P87 R87 S85:S86 E123:E124 D125 F125 G123:G124 I123:I124 H125 K123:K124 M123:M124 L125 O123:O124 N125 Q123:Q124 P125 R125 S123:S124 E161:E162 D163 F163 G161:G162 I161:I162 H163 K161:K162 M161:M162 L163 O161:O162 N163 Q161:Q162 P163 R163 S161:S162 E199:E200 D201 F201 G199:G200 I199:I200 H201 K199:K200 M199:M200 L201 O199:O200 N201 Q199:Q200 P201 R201 S199:S200" xr:uid="{00000000-0002-0000-0700-000000000000}">
      <formula1>0</formula1>
    </dataValidation>
    <dataValidation type="list" allowBlank="1" showInputMessage="1" showErrorMessage="1" sqref="L123:L124" xr:uid="{00000000-0002-0000-0700-000001000000}">
      <formula1>$G$4:$G$43</formula1>
    </dataValidation>
    <dataValidation type="list" allowBlank="1" showInputMessage="1" showErrorMessage="1" sqref="R40 R192 R154 R116 R78" xr:uid="{00000000-0002-0000-0700-000002000000}">
      <formula1>$AB$21:$AB$23</formula1>
    </dataValidation>
  </dataValidations>
  <printOptions horizontalCentered="1" verticalCentered="1"/>
  <pageMargins left="0.25" right="0.25" top="0.29931972789115646" bottom="0.81632653061224492" header="5.4421768707482991E-2" footer="0.17687074829931973"/>
  <pageSetup scale="94" orientation="landscape" horizontalDpi="4294967292" verticalDpi="4294967292"/>
  <headerFooter>
    <oddFooter>&amp;L        &amp;G</oddFooter>
  </headerFooter>
  <rowBreaks count="1" manualBreakCount="1">
    <brk id="38" max="16383" man="1"/>
  </rowBreaks>
  <ignoredErrors>
    <ignoredError sqref="E16 E15 G15 G16 I15 I16 K15 K16 M15 M16 O15 O16 Q15 Q16 S15 S16" emptyCellReference="1"/>
    <ignoredError sqref="D22:T227" formula="1"/>
  </ignoredErrors>
  <drawing r:id="rId1"/>
  <legacyDrawingHF r:id="rId2"/>
  <extLst>
    <ext xmlns:x14="http://schemas.microsoft.com/office/spreadsheetml/2009/9/main" uri="{78C0D931-6437-407d-A8EE-F0AAD7539E65}">
      <x14:conditionalFormattings>
        <x14:conditionalFormatting xmlns:xm="http://schemas.microsoft.com/office/excel/2006/main">
          <x14:cfRule type="cellIs" priority="71" operator="greaterThanOrEqual" id="{875F1750-4371-474A-81D1-25D7B7206326}">
            <xm:f>Data!$AC$23</xm:f>
            <x14:dxf>
              <font>
                <color theme="5" tint="0.59999389629810485"/>
              </font>
              <fill>
                <patternFill patternType="solid">
                  <fgColor indexed="64"/>
                  <bgColor rgb="FFFF0000"/>
                </patternFill>
              </fill>
            </x14:dxf>
          </x14:cfRule>
          <xm:sqref>H4 N4 N42 N80 N118 N156 N194</xm:sqref>
        </x14:conditionalFormatting>
        <x14:conditionalFormatting xmlns:xm="http://schemas.microsoft.com/office/excel/2006/main">
          <x14:cfRule type="expression" priority="78" id="{202B55FD-73AE-8E4B-A5C7-BB085DEFDBA8}">
            <xm:f>$H$4&gt;=Data!$AC$23</xm:f>
            <x14:dxf>
              <font>
                <color theme="5" tint="0.59999389629810485"/>
              </font>
              <fill>
                <patternFill patternType="solid">
                  <fgColor indexed="64"/>
                  <bgColor rgb="FFFF6600"/>
                </patternFill>
              </fill>
            </x14:dxf>
          </x14:cfRule>
          <xm:sqref>D14 F14 H14 J14</xm:sqref>
        </x14:conditionalFormatting>
        <x14:conditionalFormatting xmlns:xm="http://schemas.microsoft.com/office/excel/2006/main">
          <x14:cfRule type="cellIs" priority="77" operator="greaterThan" id="{CC2B605D-692E-884E-88A6-CAA4367742EB}">
            <xm:f>Data!$AC$8</xm:f>
            <x14:dxf>
              <font>
                <color theme="5" tint="0.59999389629810485"/>
              </font>
              <fill>
                <patternFill patternType="solid">
                  <fgColor indexed="64"/>
                  <bgColor rgb="FFFF0000"/>
                </patternFill>
              </fill>
            </x14:dxf>
          </x14:cfRule>
          <xm:sqref>D16:D17 F16:F17 J16:J17 H16:H17 L16:L17 N16:N17</xm:sqref>
        </x14:conditionalFormatting>
        <x14:conditionalFormatting xmlns:xm="http://schemas.microsoft.com/office/excel/2006/main">
          <x14:cfRule type="cellIs" priority="75" operator="greaterThan" id="{DF7CE83A-5A1B-B04D-BB6E-45E28523E5DC}">
            <xm:f>Data!$AC$27</xm:f>
            <x14:dxf>
              <font>
                <color theme="5" tint="0.59999389629810485"/>
              </font>
              <fill>
                <patternFill patternType="solid">
                  <fgColor indexed="64"/>
                  <bgColor rgb="FFFF0000"/>
                </patternFill>
              </fill>
            </x14:dxf>
          </x14:cfRule>
          <xm:sqref>D22 F22 H22 J22 L22 N22 F60 H60 J60 L60 N60 F98 H98 J98 L98 N98 F136 H136 J136 L136 N136 F174 H174 J174 L174 N174 F212 H212 J212 L212 N212</xm:sqref>
        </x14:conditionalFormatting>
        <x14:conditionalFormatting xmlns:xm="http://schemas.microsoft.com/office/excel/2006/main">
          <x14:cfRule type="cellIs" priority="73" operator="greaterThan" id="{7DA77C65-1DBF-6E4E-8424-B74D4D2365DF}">
            <xm:f>Data!$AC$8</xm:f>
            <x14:dxf>
              <font>
                <color theme="5" tint="0.59999389629810485"/>
              </font>
              <fill>
                <patternFill patternType="solid">
                  <fgColor indexed="64"/>
                  <bgColor rgb="FFFF0000"/>
                </patternFill>
              </fill>
            </x14:dxf>
          </x14:cfRule>
          <xm:sqref>P16:P17 R16:R17</xm:sqref>
        </x14:conditionalFormatting>
        <x14:conditionalFormatting xmlns:xm="http://schemas.microsoft.com/office/excel/2006/main">
          <x14:cfRule type="cellIs" priority="72" operator="greaterThan" id="{FAAC16DF-A8D9-6B49-A11A-F7F9174E555D}">
            <xm:f>Data!$AC$13</xm:f>
            <x14:dxf>
              <font>
                <color theme="5" tint="0.59999389629810485"/>
              </font>
              <fill>
                <patternFill patternType="solid">
                  <fgColor indexed="64"/>
                  <bgColor rgb="FFFF0000"/>
                </patternFill>
              </fill>
            </x14:dxf>
          </x14:cfRule>
          <xm:sqref>P22 R22 R60 R98 R136 R174 R212</xm:sqref>
        </x14:conditionalFormatting>
        <x14:conditionalFormatting xmlns:xm="http://schemas.microsoft.com/office/excel/2006/main">
          <x14:cfRule type="cellIs" priority="70" operator="greaterThanOrEqual" id="{B7D0CBC3-DAD9-EC44-9130-637436086583}">
            <xm:f>Data!$AC$24</xm:f>
            <x14:dxf>
              <font>
                <color theme="5" tint="0.79998168889431442"/>
              </font>
              <fill>
                <patternFill patternType="solid">
                  <fgColor indexed="64"/>
                  <bgColor rgb="FFFF0000"/>
                </patternFill>
              </fill>
            </x14:dxf>
          </x14:cfRule>
          <xm:sqref>H6 N6 N44 N82 N120 N158 N196</xm:sqref>
        </x14:conditionalFormatting>
        <x14:conditionalFormatting xmlns:xm="http://schemas.microsoft.com/office/excel/2006/main">
          <x14:cfRule type="cellIs" priority="68" operator="greaterThanOrEqual" id="{5CEA8711-4FF2-1A4A-B2A4-D8F20E0B13DD}">
            <xm:f>Data!$AC$22</xm:f>
            <x14:dxf>
              <font>
                <color theme="5" tint="0.59999389629810485"/>
              </font>
              <fill>
                <patternFill patternType="solid">
                  <fgColor indexed="64"/>
                  <bgColor rgb="FFFF0000"/>
                </patternFill>
              </fill>
            </x14:dxf>
          </x14:cfRule>
          <xm:sqref>D4</xm:sqref>
        </x14:conditionalFormatting>
        <x14:conditionalFormatting xmlns:xm="http://schemas.microsoft.com/office/excel/2006/main">
          <x14:cfRule type="expression" priority="80" id="{AD6C1AF3-8948-A045-944F-3024654BC4F6}">
            <xm:f>$N$4&gt;=Data!$AC$23</xm:f>
            <x14:dxf>
              <font>
                <color theme="5" tint="0.59999389629810485"/>
              </font>
              <fill>
                <patternFill patternType="solid">
                  <fgColor indexed="64"/>
                  <bgColor rgb="FFFF6600"/>
                </patternFill>
              </fill>
            </x14:dxf>
          </x14:cfRule>
          <xm:sqref>L14 N14 P14 R14</xm:sqref>
        </x14:conditionalFormatting>
        <x14:conditionalFormatting xmlns:xm="http://schemas.microsoft.com/office/excel/2006/main">
          <x14:cfRule type="cellIs" priority="47" operator="greaterThanOrEqual" id="{9EC1240B-8662-7A44-8AFA-8E65986AC96A}">
            <xm:f>Data!$AC$23</xm:f>
            <x14:dxf>
              <font>
                <color theme="5" tint="0.59999389629810485"/>
              </font>
              <fill>
                <patternFill patternType="solid">
                  <fgColor indexed="64"/>
                  <bgColor rgb="FFFF0000"/>
                </patternFill>
              </fill>
            </x14:dxf>
          </x14:cfRule>
          <xm:sqref>H42</xm:sqref>
        </x14:conditionalFormatting>
        <x14:conditionalFormatting xmlns:xm="http://schemas.microsoft.com/office/excel/2006/main">
          <x14:cfRule type="expression" priority="52" id="{3D38703E-2B6B-434E-9941-F2C969EBC40B}">
            <xm:f>$H$42&gt;=Data!$AC$23</xm:f>
            <x14:dxf>
              <font>
                <color theme="5" tint="0.59999389629810485"/>
              </font>
              <fill>
                <patternFill patternType="solid">
                  <fgColor indexed="64"/>
                  <bgColor rgb="FFFF6600"/>
                </patternFill>
              </fill>
            </x14:dxf>
          </x14:cfRule>
          <xm:sqref>D52 F52 H52 J52</xm:sqref>
        </x14:conditionalFormatting>
        <x14:conditionalFormatting xmlns:xm="http://schemas.microsoft.com/office/excel/2006/main">
          <x14:cfRule type="cellIs" priority="51" operator="greaterThan" id="{E230D7D9-1DAB-E44B-AE4B-FBFD4C881C56}">
            <xm:f>Data!$AC$8</xm:f>
            <x14:dxf>
              <font>
                <color theme="5" tint="0.59999389629810485"/>
              </font>
              <fill>
                <patternFill patternType="solid">
                  <fgColor indexed="64"/>
                  <bgColor rgb="FFFF0000"/>
                </patternFill>
              </fill>
            </x14:dxf>
          </x14:cfRule>
          <xm:sqref>D54:D55 F54:F55 J54:J55 H54:H55 L54:L55 N54:N55</xm:sqref>
        </x14:conditionalFormatting>
        <x14:conditionalFormatting xmlns:xm="http://schemas.microsoft.com/office/excel/2006/main">
          <x14:cfRule type="cellIs" priority="50" operator="greaterThan" id="{F3A1CAA2-BA3E-704C-A900-7489081B6756}">
            <xm:f>Data!$AC$27</xm:f>
            <x14:dxf>
              <font>
                <color theme="5" tint="0.59999389629810485"/>
              </font>
              <fill>
                <patternFill patternType="solid">
                  <fgColor indexed="64"/>
                  <bgColor rgb="FFFF0000"/>
                </patternFill>
              </fill>
            </x14:dxf>
          </x14:cfRule>
          <xm:sqref>D60</xm:sqref>
        </x14:conditionalFormatting>
        <x14:conditionalFormatting xmlns:xm="http://schemas.microsoft.com/office/excel/2006/main">
          <x14:cfRule type="cellIs" priority="49" operator="greaterThan" id="{0CC35CF2-6A16-B24B-8B4A-C8B36D52B283}">
            <xm:f>Data!$AC$8</xm:f>
            <x14:dxf>
              <font>
                <color theme="5" tint="0.59999389629810485"/>
              </font>
              <fill>
                <patternFill patternType="solid">
                  <fgColor indexed="64"/>
                  <bgColor rgb="FFFF0000"/>
                </patternFill>
              </fill>
            </x14:dxf>
          </x14:cfRule>
          <xm:sqref>P54:P55 R54:R55</xm:sqref>
        </x14:conditionalFormatting>
        <x14:conditionalFormatting xmlns:xm="http://schemas.microsoft.com/office/excel/2006/main">
          <x14:cfRule type="cellIs" priority="48" operator="greaterThan" id="{B8EE42DB-CB78-D14A-ACEA-A85D6EEC61B1}">
            <xm:f>Data!$AC$13</xm:f>
            <x14:dxf>
              <font>
                <color theme="5" tint="0.59999389629810485"/>
              </font>
              <fill>
                <patternFill patternType="solid">
                  <fgColor indexed="64"/>
                  <bgColor rgb="FFFF0000"/>
                </patternFill>
              </fill>
            </x14:dxf>
          </x14:cfRule>
          <xm:sqref>P60</xm:sqref>
        </x14:conditionalFormatting>
        <x14:conditionalFormatting xmlns:xm="http://schemas.microsoft.com/office/excel/2006/main">
          <x14:cfRule type="cellIs" priority="46" operator="greaterThanOrEqual" id="{708182E6-2B4E-C04C-A35F-BF6153451664}">
            <xm:f>Data!$AC$24</xm:f>
            <x14:dxf>
              <font>
                <color theme="5" tint="0.79998168889431442"/>
              </font>
              <fill>
                <patternFill patternType="solid">
                  <fgColor indexed="64"/>
                  <bgColor rgb="FFFF0000"/>
                </patternFill>
              </fill>
            </x14:dxf>
          </x14:cfRule>
          <xm:sqref>H44</xm:sqref>
        </x14:conditionalFormatting>
        <x14:conditionalFormatting xmlns:xm="http://schemas.microsoft.com/office/excel/2006/main">
          <x14:cfRule type="cellIs" priority="45" operator="greaterThanOrEqual" id="{0C2C68C7-B7EA-0843-BE66-4CC9E763418B}">
            <xm:f>Data!$AC$22</xm:f>
            <x14:dxf>
              <font>
                <color theme="5" tint="0.59999389629810485"/>
              </font>
              <fill>
                <patternFill patternType="solid">
                  <fgColor indexed="64"/>
                  <bgColor rgb="FFFF0000"/>
                </patternFill>
              </fill>
            </x14:dxf>
          </x14:cfRule>
          <xm:sqref>D42</xm:sqref>
        </x14:conditionalFormatting>
        <x14:conditionalFormatting xmlns:xm="http://schemas.microsoft.com/office/excel/2006/main">
          <x14:cfRule type="expression" priority="53" id="{47FD853F-3A4E-C34D-B6E6-871E0DB53F4C}">
            <xm:f>$N$42&gt;=Data!$AC$23</xm:f>
            <x14:dxf>
              <font>
                <color theme="5" tint="0.59999389629810485"/>
              </font>
              <fill>
                <patternFill patternType="solid">
                  <fgColor indexed="64"/>
                  <bgColor rgb="FFFF6600"/>
                </patternFill>
              </fill>
            </x14:dxf>
          </x14:cfRule>
          <xm:sqref>L52 N52 P52 R52</xm:sqref>
        </x14:conditionalFormatting>
        <x14:conditionalFormatting xmlns:xm="http://schemas.microsoft.com/office/excel/2006/main">
          <x14:cfRule type="cellIs" priority="36" operator="greaterThanOrEqual" id="{6479B7A4-D970-2849-946F-FF477E8382C2}">
            <xm:f>Data!$AC$23</xm:f>
            <x14:dxf>
              <font>
                <color theme="5" tint="0.59999389629810485"/>
              </font>
              <fill>
                <patternFill patternType="solid">
                  <fgColor indexed="64"/>
                  <bgColor rgb="FFFF0000"/>
                </patternFill>
              </fill>
            </x14:dxf>
          </x14:cfRule>
          <xm:sqref>H80</xm:sqref>
        </x14:conditionalFormatting>
        <x14:conditionalFormatting xmlns:xm="http://schemas.microsoft.com/office/excel/2006/main">
          <x14:cfRule type="expression" priority="41" id="{194FB1A6-6276-A645-80C3-BC0F9CEDCBA7}">
            <xm:f>$H$80&gt;=Data!$AC$23</xm:f>
            <x14:dxf>
              <font>
                <color theme="5" tint="0.59999389629810485"/>
              </font>
              <fill>
                <patternFill patternType="solid">
                  <fgColor indexed="64"/>
                  <bgColor rgb="FFFF6600"/>
                </patternFill>
              </fill>
            </x14:dxf>
          </x14:cfRule>
          <xm:sqref>D90 F90 H90 J90</xm:sqref>
        </x14:conditionalFormatting>
        <x14:conditionalFormatting xmlns:xm="http://schemas.microsoft.com/office/excel/2006/main">
          <x14:cfRule type="cellIs" priority="40" operator="greaterThan" id="{69ADC70E-F903-A445-AA17-B3CACB6F175D}">
            <xm:f>Data!$AC$8</xm:f>
            <x14:dxf>
              <font>
                <color theme="5" tint="0.59999389629810485"/>
              </font>
              <fill>
                <patternFill patternType="solid">
                  <fgColor indexed="64"/>
                  <bgColor rgb="FFFF0000"/>
                </patternFill>
              </fill>
            </x14:dxf>
          </x14:cfRule>
          <xm:sqref>D92:D93 F92:F93 J92:J93 H92:H93 L92:L93 N92:N93</xm:sqref>
        </x14:conditionalFormatting>
        <x14:conditionalFormatting xmlns:xm="http://schemas.microsoft.com/office/excel/2006/main">
          <x14:cfRule type="cellIs" priority="39" operator="greaterThan" id="{FD829A39-7D4B-D847-A023-3A8AD54F030A}">
            <xm:f>Data!$AC$27</xm:f>
            <x14:dxf>
              <font>
                <color theme="5" tint="0.59999389629810485"/>
              </font>
              <fill>
                <patternFill patternType="solid">
                  <fgColor indexed="64"/>
                  <bgColor rgb="FFFF0000"/>
                </patternFill>
              </fill>
            </x14:dxf>
          </x14:cfRule>
          <xm:sqref>D98</xm:sqref>
        </x14:conditionalFormatting>
        <x14:conditionalFormatting xmlns:xm="http://schemas.microsoft.com/office/excel/2006/main">
          <x14:cfRule type="cellIs" priority="38" operator="greaterThan" id="{04D7F235-B0EB-8142-A38A-216F4D54568C}">
            <xm:f>Data!$AC$8</xm:f>
            <x14:dxf>
              <font>
                <color theme="5" tint="0.59999389629810485"/>
              </font>
              <fill>
                <patternFill patternType="solid">
                  <fgColor indexed="64"/>
                  <bgColor rgb="FFFF0000"/>
                </patternFill>
              </fill>
            </x14:dxf>
          </x14:cfRule>
          <xm:sqref>P92:P93 R92:R93</xm:sqref>
        </x14:conditionalFormatting>
        <x14:conditionalFormatting xmlns:xm="http://schemas.microsoft.com/office/excel/2006/main">
          <x14:cfRule type="cellIs" priority="37" operator="greaterThan" id="{B62409F5-2C8A-834B-B264-DEEC60CF0BE7}">
            <xm:f>Data!$AC$13</xm:f>
            <x14:dxf>
              <font>
                <color theme="5" tint="0.59999389629810485"/>
              </font>
              <fill>
                <patternFill patternType="solid">
                  <fgColor indexed="64"/>
                  <bgColor rgb="FFFF0000"/>
                </patternFill>
              </fill>
            </x14:dxf>
          </x14:cfRule>
          <xm:sqref>P98</xm:sqref>
        </x14:conditionalFormatting>
        <x14:conditionalFormatting xmlns:xm="http://schemas.microsoft.com/office/excel/2006/main">
          <x14:cfRule type="cellIs" priority="35" operator="greaterThanOrEqual" id="{D22C5FE9-B43D-FE4E-9F85-F44E04C4FCA8}">
            <xm:f>Data!$AC$24</xm:f>
            <x14:dxf>
              <font>
                <color theme="5" tint="0.79998168889431442"/>
              </font>
              <fill>
                <patternFill patternType="solid">
                  <fgColor indexed="64"/>
                  <bgColor rgb="FFFF0000"/>
                </patternFill>
              </fill>
            </x14:dxf>
          </x14:cfRule>
          <xm:sqref>H82</xm:sqref>
        </x14:conditionalFormatting>
        <x14:conditionalFormatting xmlns:xm="http://schemas.microsoft.com/office/excel/2006/main">
          <x14:cfRule type="cellIs" priority="34" operator="greaterThanOrEqual" id="{223FA25D-96FD-8C49-BDC5-833D1F2D7061}">
            <xm:f>Data!$AC$22</xm:f>
            <x14:dxf>
              <font>
                <color theme="5" tint="0.59999389629810485"/>
              </font>
              <fill>
                <patternFill patternType="solid">
                  <fgColor indexed="64"/>
                  <bgColor rgb="FFFF0000"/>
                </patternFill>
              </fill>
            </x14:dxf>
          </x14:cfRule>
          <xm:sqref>D80</xm:sqref>
        </x14:conditionalFormatting>
        <x14:conditionalFormatting xmlns:xm="http://schemas.microsoft.com/office/excel/2006/main">
          <x14:cfRule type="expression" priority="42" id="{4F178302-8F2A-FC48-B18D-78663014B00D}">
            <xm:f>$N$80&gt;=Data!$AC$23</xm:f>
            <x14:dxf>
              <font>
                <color theme="5" tint="0.59999389629810485"/>
              </font>
              <fill>
                <patternFill patternType="solid">
                  <fgColor indexed="64"/>
                  <bgColor rgb="FFFF6600"/>
                </patternFill>
              </fill>
            </x14:dxf>
          </x14:cfRule>
          <xm:sqref>L90 N90 P90 R90</xm:sqref>
        </x14:conditionalFormatting>
        <x14:conditionalFormatting xmlns:xm="http://schemas.microsoft.com/office/excel/2006/main">
          <x14:cfRule type="cellIs" priority="25" operator="greaterThanOrEqual" id="{0818DE7A-3C16-674E-A4FA-AB157FA84358}">
            <xm:f>Data!$AC$23</xm:f>
            <x14:dxf>
              <font>
                <color theme="5" tint="0.59999389629810485"/>
              </font>
              <fill>
                <patternFill patternType="solid">
                  <fgColor indexed="64"/>
                  <bgColor rgb="FFFF0000"/>
                </patternFill>
              </fill>
            </x14:dxf>
          </x14:cfRule>
          <xm:sqref>H118</xm:sqref>
        </x14:conditionalFormatting>
        <x14:conditionalFormatting xmlns:xm="http://schemas.microsoft.com/office/excel/2006/main">
          <x14:cfRule type="expression" priority="30" id="{59A6FC74-67C6-ED4C-9EDF-315D884D3730}">
            <xm:f>$H$118&gt;=Data!$AC$23</xm:f>
            <x14:dxf>
              <font>
                <color theme="5" tint="0.59999389629810485"/>
              </font>
              <fill>
                <patternFill patternType="solid">
                  <fgColor indexed="64"/>
                  <bgColor rgb="FFFF6600"/>
                </patternFill>
              </fill>
            </x14:dxf>
          </x14:cfRule>
          <xm:sqref>D128 F128 H128 J128</xm:sqref>
        </x14:conditionalFormatting>
        <x14:conditionalFormatting xmlns:xm="http://schemas.microsoft.com/office/excel/2006/main">
          <x14:cfRule type="cellIs" priority="29" operator="greaterThan" id="{A645E275-5FA3-F845-A4D8-57C3E8EC95F1}">
            <xm:f>Data!$AC$8</xm:f>
            <x14:dxf>
              <font>
                <color theme="5" tint="0.59999389629810485"/>
              </font>
              <fill>
                <patternFill patternType="solid">
                  <fgColor indexed="64"/>
                  <bgColor rgb="FFFF0000"/>
                </patternFill>
              </fill>
            </x14:dxf>
          </x14:cfRule>
          <xm:sqref>D130:D131 F130:F131 J130:J131 H130:H131 L130:L131 N130:N131</xm:sqref>
        </x14:conditionalFormatting>
        <x14:conditionalFormatting xmlns:xm="http://schemas.microsoft.com/office/excel/2006/main">
          <x14:cfRule type="cellIs" priority="28" operator="greaterThan" id="{86079E14-55BD-D549-8A98-EE1CB197464C}">
            <xm:f>Data!$AC$27</xm:f>
            <x14:dxf>
              <font>
                <color theme="5" tint="0.59999389629810485"/>
              </font>
              <fill>
                <patternFill patternType="solid">
                  <fgColor indexed="64"/>
                  <bgColor rgb="FFFF0000"/>
                </patternFill>
              </fill>
            </x14:dxf>
          </x14:cfRule>
          <xm:sqref>D136</xm:sqref>
        </x14:conditionalFormatting>
        <x14:conditionalFormatting xmlns:xm="http://schemas.microsoft.com/office/excel/2006/main">
          <x14:cfRule type="cellIs" priority="27" operator="greaterThan" id="{C3BEC6DC-7E51-4A44-9F75-938913E5A5E0}">
            <xm:f>Data!$AC$8</xm:f>
            <x14:dxf>
              <font>
                <color theme="5" tint="0.59999389629810485"/>
              </font>
              <fill>
                <patternFill patternType="solid">
                  <fgColor indexed="64"/>
                  <bgColor rgb="FFFF0000"/>
                </patternFill>
              </fill>
            </x14:dxf>
          </x14:cfRule>
          <xm:sqref>P130:P131 R130:R131</xm:sqref>
        </x14:conditionalFormatting>
        <x14:conditionalFormatting xmlns:xm="http://schemas.microsoft.com/office/excel/2006/main">
          <x14:cfRule type="cellIs" priority="26" operator="greaterThan" id="{C55BCB2F-F763-9942-9AAB-608020CAA783}">
            <xm:f>Data!$AC$13</xm:f>
            <x14:dxf>
              <font>
                <color theme="5" tint="0.59999389629810485"/>
              </font>
              <fill>
                <patternFill patternType="solid">
                  <fgColor indexed="64"/>
                  <bgColor rgb="FFFF0000"/>
                </patternFill>
              </fill>
            </x14:dxf>
          </x14:cfRule>
          <xm:sqref>P136</xm:sqref>
        </x14:conditionalFormatting>
        <x14:conditionalFormatting xmlns:xm="http://schemas.microsoft.com/office/excel/2006/main">
          <x14:cfRule type="cellIs" priority="24" operator="greaterThanOrEqual" id="{5F1C7436-896C-F348-86E2-24FAD209EA7A}">
            <xm:f>Data!$AC$24</xm:f>
            <x14:dxf>
              <font>
                <color theme="5" tint="0.79998168889431442"/>
              </font>
              <fill>
                <patternFill patternType="solid">
                  <fgColor indexed="64"/>
                  <bgColor rgb="FFFF0000"/>
                </patternFill>
              </fill>
            </x14:dxf>
          </x14:cfRule>
          <xm:sqref>H120</xm:sqref>
        </x14:conditionalFormatting>
        <x14:conditionalFormatting xmlns:xm="http://schemas.microsoft.com/office/excel/2006/main">
          <x14:cfRule type="cellIs" priority="23" operator="greaterThanOrEqual" id="{1C23165B-0067-B549-8030-C4986C4D79FF}">
            <xm:f>Data!$AC$22</xm:f>
            <x14:dxf>
              <font>
                <color theme="5" tint="0.59999389629810485"/>
              </font>
              <fill>
                <patternFill patternType="solid">
                  <fgColor indexed="64"/>
                  <bgColor rgb="FFFF0000"/>
                </patternFill>
              </fill>
            </x14:dxf>
          </x14:cfRule>
          <xm:sqref>D118</xm:sqref>
        </x14:conditionalFormatting>
        <x14:conditionalFormatting xmlns:xm="http://schemas.microsoft.com/office/excel/2006/main">
          <x14:cfRule type="expression" priority="31" id="{1B78C996-62AD-8E4A-99B9-0AF888014A5E}">
            <xm:f>$N$118&gt;=Data!$AC$23</xm:f>
            <x14:dxf>
              <font>
                <color theme="5" tint="0.59999389629810485"/>
              </font>
              <fill>
                <patternFill patternType="solid">
                  <fgColor indexed="64"/>
                  <bgColor rgb="FFFF6600"/>
                </patternFill>
              </fill>
            </x14:dxf>
          </x14:cfRule>
          <xm:sqref>L128 N128 P128 R128</xm:sqref>
        </x14:conditionalFormatting>
        <x14:conditionalFormatting xmlns:xm="http://schemas.microsoft.com/office/excel/2006/main">
          <x14:cfRule type="cellIs" priority="14" operator="greaterThanOrEqual" id="{A650E95C-8A52-9D40-93CA-23A2D032B42D}">
            <xm:f>Data!$AC$23</xm:f>
            <x14:dxf>
              <font>
                <color theme="5" tint="0.59999389629810485"/>
              </font>
              <fill>
                <patternFill patternType="solid">
                  <fgColor indexed="64"/>
                  <bgColor rgb="FFFF0000"/>
                </patternFill>
              </fill>
            </x14:dxf>
          </x14:cfRule>
          <xm:sqref>H156</xm:sqref>
        </x14:conditionalFormatting>
        <x14:conditionalFormatting xmlns:xm="http://schemas.microsoft.com/office/excel/2006/main">
          <x14:cfRule type="expression" priority="19" id="{34377B46-CDCC-A34D-AFE2-03EC48459AFF}">
            <xm:f>$H$156&gt;=Data!$AC$23</xm:f>
            <x14:dxf>
              <font>
                <color theme="5" tint="0.59999389629810485"/>
              </font>
              <fill>
                <patternFill patternType="solid">
                  <fgColor indexed="64"/>
                  <bgColor rgb="FFFF6600"/>
                </patternFill>
              </fill>
            </x14:dxf>
          </x14:cfRule>
          <xm:sqref>D166 F166 H166 J166</xm:sqref>
        </x14:conditionalFormatting>
        <x14:conditionalFormatting xmlns:xm="http://schemas.microsoft.com/office/excel/2006/main">
          <x14:cfRule type="cellIs" priority="18" operator="greaterThan" id="{CDA7783E-7DBF-F148-A5D0-CF254DDB404A}">
            <xm:f>Data!$AC$8</xm:f>
            <x14:dxf>
              <font>
                <color theme="5" tint="0.59999389629810485"/>
              </font>
              <fill>
                <patternFill patternType="solid">
                  <fgColor indexed="64"/>
                  <bgColor rgb="FFFF0000"/>
                </patternFill>
              </fill>
            </x14:dxf>
          </x14:cfRule>
          <xm:sqref>D168:D169 F168:F169 J168:J169 H168:H169 L168:L169 N168:N169</xm:sqref>
        </x14:conditionalFormatting>
        <x14:conditionalFormatting xmlns:xm="http://schemas.microsoft.com/office/excel/2006/main">
          <x14:cfRule type="cellIs" priority="17" operator="greaterThan" id="{1B66194B-5EB1-6846-96F2-2777E939DD38}">
            <xm:f>Data!$AC$27</xm:f>
            <x14:dxf>
              <font>
                <color theme="5" tint="0.59999389629810485"/>
              </font>
              <fill>
                <patternFill patternType="solid">
                  <fgColor indexed="64"/>
                  <bgColor rgb="FFFF0000"/>
                </patternFill>
              </fill>
            </x14:dxf>
          </x14:cfRule>
          <xm:sqref>D174</xm:sqref>
        </x14:conditionalFormatting>
        <x14:conditionalFormatting xmlns:xm="http://schemas.microsoft.com/office/excel/2006/main">
          <x14:cfRule type="cellIs" priority="16" operator="greaterThan" id="{E7EA64B5-343B-6D49-BEFB-8697609F7355}">
            <xm:f>Data!$AC$8</xm:f>
            <x14:dxf>
              <font>
                <color theme="5" tint="0.59999389629810485"/>
              </font>
              <fill>
                <patternFill patternType="solid">
                  <fgColor indexed="64"/>
                  <bgColor rgb="FFFF0000"/>
                </patternFill>
              </fill>
            </x14:dxf>
          </x14:cfRule>
          <xm:sqref>P168:P169 R168:R169</xm:sqref>
        </x14:conditionalFormatting>
        <x14:conditionalFormatting xmlns:xm="http://schemas.microsoft.com/office/excel/2006/main">
          <x14:cfRule type="cellIs" priority="15" operator="greaterThan" id="{EAE44494-BBDC-2A4A-B65E-EA01F2B5BE77}">
            <xm:f>Data!$AC$13</xm:f>
            <x14:dxf>
              <font>
                <color theme="5" tint="0.59999389629810485"/>
              </font>
              <fill>
                <patternFill patternType="solid">
                  <fgColor indexed="64"/>
                  <bgColor rgb="FFFF0000"/>
                </patternFill>
              </fill>
            </x14:dxf>
          </x14:cfRule>
          <xm:sqref>P174</xm:sqref>
        </x14:conditionalFormatting>
        <x14:conditionalFormatting xmlns:xm="http://schemas.microsoft.com/office/excel/2006/main">
          <x14:cfRule type="cellIs" priority="13" operator="greaterThanOrEqual" id="{EC8DF172-73B8-144E-9A0F-052CEC8E210E}">
            <xm:f>Data!$AC$24</xm:f>
            <x14:dxf>
              <font>
                <color theme="5" tint="0.79998168889431442"/>
              </font>
              <fill>
                <patternFill patternType="solid">
                  <fgColor indexed="64"/>
                  <bgColor rgb="FFFF0000"/>
                </patternFill>
              </fill>
            </x14:dxf>
          </x14:cfRule>
          <xm:sqref>H158</xm:sqref>
        </x14:conditionalFormatting>
        <x14:conditionalFormatting xmlns:xm="http://schemas.microsoft.com/office/excel/2006/main">
          <x14:cfRule type="cellIs" priority="12" operator="greaterThanOrEqual" id="{4E190549-6F06-5448-AA78-B1499995F02E}">
            <xm:f>Data!$AC$22</xm:f>
            <x14:dxf>
              <font>
                <color theme="5" tint="0.59999389629810485"/>
              </font>
              <fill>
                <patternFill patternType="solid">
                  <fgColor indexed="64"/>
                  <bgColor rgb="FFFF0000"/>
                </patternFill>
              </fill>
            </x14:dxf>
          </x14:cfRule>
          <xm:sqref>D156</xm:sqref>
        </x14:conditionalFormatting>
        <x14:conditionalFormatting xmlns:xm="http://schemas.microsoft.com/office/excel/2006/main">
          <x14:cfRule type="expression" priority="20" id="{B331BC08-E56F-D142-AF27-5D894975D690}">
            <xm:f>$N$156&gt;=Data!$AC$23</xm:f>
            <x14:dxf>
              <font>
                <color theme="5" tint="0.59999389629810485"/>
              </font>
              <fill>
                <patternFill patternType="solid">
                  <fgColor indexed="64"/>
                  <bgColor rgb="FFFF6600"/>
                </patternFill>
              </fill>
            </x14:dxf>
          </x14:cfRule>
          <xm:sqref>L166 N166 P166 R166</xm:sqref>
        </x14:conditionalFormatting>
        <x14:conditionalFormatting xmlns:xm="http://schemas.microsoft.com/office/excel/2006/main">
          <x14:cfRule type="cellIs" priority="3" operator="greaterThanOrEqual" id="{48A7A940-BD69-2940-80BA-98310DEF1994}">
            <xm:f>Data!$AC$23</xm:f>
            <x14:dxf>
              <font>
                <color theme="5" tint="0.59999389629810485"/>
              </font>
              <fill>
                <patternFill patternType="solid">
                  <fgColor indexed="64"/>
                  <bgColor rgb="FFFF0000"/>
                </patternFill>
              </fill>
            </x14:dxf>
          </x14:cfRule>
          <xm:sqref>H194</xm:sqref>
        </x14:conditionalFormatting>
        <x14:conditionalFormatting xmlns:xm="http://schemas.microsoft.com/office/excel/2006/main">
          <x14:cfRule type="expression" priority="8" id="{96B59461-F586-B54B-9111-1BD11AE5CE0A}">
            <xm:f>$H$194&gt;=Data!$AC$23</xm:f>
            <x14:dxf>
              <font>
                <color theme="5" tint="0.59999389629810485"/>
              </font>
              <fill>
                <patternFill patternType="solid">
                  <fgColor indexed="64"/>
                  <bgColor rgb="FFFF6600"/>
                </patternFill>
              </fill>
            </x14:dxf>
          </x14:cfRule>
          <xm:sqref>D204 F204 H204 J204</xm:sqref>
        </x14:conditionalFormatting>
        <x14:conditionalFormatting xmlns:xm="http://schemas.microsoft.com/office/excel/2006/main">
          <x14:cfRule type="cellIs" priority="7" operator="greaterThan" id="{42EC8A93-867B-8548-8DBE-063349876064}">
            <xm:f>Data!$AC$8</xm:f>
            <x14:dxf>
              <font>
                <color theme="5" tint="0.59999389629810485"/>
              </font>
              <fill>
                <patternFill patternType="solid">
                  <fgColor indexed="64"/>
                  <bgColor rgb="FFFF0000"/>
                </patternFill>
              </fill>
            </x14:dxf>
          </x14:cfRule>
          <xm:sqref>D206:D207 F206:F207 J206:J207 H206:H207 L206:L207 N206:N207</xm:sqref>
        </x14:conditionalFormatting>
        <x14:conditionalFormatting xmlns:xm="http://schemas.microsoft.com/office/excel/2006/main">
          <x14:cfRule type="cellIs" priority="6" operator="greaterThan" id="{28519452-82C9-7C42-BEB9-05F99DFB7793}">
            <xm:f>Data!$AC$27</xm:f>
            <x14:dxf>
              <font>
                <color theme="5" tint="0.59999389629810485"/>
              </font>
              <fill>
                <patternFill patternType="solid">
                  <fgColor indexed="64"/>
                  <bgColor rgb="FFFF0000"/>
                </patternFill>
              </fill>
            </x14:dxf>
          </x14:cfRule>
          <xm:sqref>D212</xm:sqref>
        </x14:conditionalFormatting>
        <x14:conditionalFormatting xmlns:xm="http://schemas.microsoft.com/office/excel/2006/main">
          <x14:cfRule type="cellIs" priority="5" operator="greaterThan" id="{848BD869-84C9-C644-B644-68D58F71ED76}">
            <xm:f>Data!$AC$8</xm:f>
            <x14:dxf>
              <font>
                <color theme="5" tint="0.59999389629810485"/>
              </font>
              <fill>
                <patternFill patternType="solid">
                  <fgColor indexed="64"/>
                  <bgColor rgb="FFFF0000"/>
                </patternFill>
              </fill>
            </x14:dxf>
          </x14:cfRule>
          <xm:sqref>P206:P207 R206:R207</xm:sqref>
        </x14:conditionalFormatting>
        <x14:conditionalFormatting xmlns:xm="http://schemas.microsoft.com/office/excel/2006/main">
          <x14:cfRule type="cellIs" priority="4" operator="greaterThan" id="{CFB865DA-7C35-BA46-B752-D8D6497B4E91}">
            <xm:f>Data!$AC$13</xm:f>
            <x14:dxf>
              <font>
                <color theme="5" tint="0.59999389629810485"/>
              </font>
              <fill>
                <patternFill patternType="solid">
                  <fgColor indexed="64"/>
                  <bgColor rgb="FFFF0000"/>
                </patternFill>
              </fill>
            </x14:dxf>
          </x14:cfRule>
          <xm:sqref>P212</xm:sqref>
        </x14:conditionalFormatting>
        <x14:conditionalFormatting xmlns:xm="http://schemas.microsoft.com/office/excel/2006/main">
          <x14:cfRule type="cellIs" priority="2" operator="greaterThanOrEqual" id="{96CC149D-A03D-EB43-B4EB-0F35FD49D8BB}">
            <xm:f>Data!$AC$24</xm:f>
            <x14:dxf>
              <font>
                <color theme="5" tint="0.79998168889431442"/>
              </font>
              <fill>
                <patternFill patternType="solid">
                  <fgColor indexed="64"/>
                  <bgColor rgb="FFFF0000"/>
                </patternFill>
              </fill>
            </x14:dxf>
          </x14:cfRule>
          <xm:sqref>H196</xm:sqref>
        </x14:conditionalFormatting>
        <x14:conditionalFormatting xmlns:xm="http://schemas.microsoft.com/office/excel/2006/main">
          <x14:cfRule type="cellIs" priority="1" operator="greaterThanOrEqual" id="{A4B1C01C-C865-BB40-89CD-83244428AE37}">
            <xm:f>Data!$AC$22</xm:f>
            <x14:dxf>
              <font>
                <color theme="5" tint="0.59999389629810485"/>
              </font>
              <fill>
                <patternFill patternType="solid">
                  <fgColor indexed="64"/>
                  <bgColor rgb="FFFF0000"/>
                </patternFill>
              </fill>
            </x14:dxf>
          </x14:cfRule>
          <xm:sqref>D194</xm:sqref>
        </x14:conditionalFormatting>
        <x14:conditionalFormatting xmlns:xm="http://schemas.microsoft.com/office/excel/2006/main">
          <x14:cfRule type="expression" priority="9" id="{DB678F10-449B-1D40-9527-601DF9464B04}">
            <xm:f>$N$194&gt;=Data!$AC$23</xm:f>
            <x14:dxf>
              <font>
                <color theme="5" tint="0.59999389629810485"/>
              </font>
              <fill>
                <patternFill patternType="solid">
                  <fgColor indexed="64"/>
                  <bgColor rgb="FFFF6600"/>
                </patternFill>
              </fill>
            </x14:dxf>
          </x14:cfRule>
          <xm:sqref>L204 N204 P204 R204</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7000000}">
          <x14:formula1>
            <xm:f>Data!$AB$30:$AB$32</xm:f>
          </x14:formula1>
          <xm:sqref>R2</xm:sqref>
        </x14:dataValidation>
        <x14:dataValidation type="list" allowBlank="1" showInputMessage="1" showErrorMessage="1" xr:uid="{00000000-0002-0000-0700-000008000000}">
          <x14:formula1>
            <xm:f>Data!$R$4:$R$62</xm:f>
          </x14:formula1>
          <xm:sqref>D9:D10 D199:D200 F199:F200 H199:H200 J199:J200 L199:L200 N199:N200 P199:P200 R199:R200 D161:D162 F161:F162 H161:H162 J161:J162 L161:L162 N161:N162 P161:P162 R161:R162 D123:D124 H123:H124 F123:F124 J123:J124 N123:N124 P123:P124 R123:R124 R85:R86 P85:P86 N85:N86 L85:L86 J85:J86 H85:H86 F85:F86 D85:D86 D47:D48 F47:F48 H47:H48 J47:J48 L47:L48 N47:N48 P47:P48 R47:R48 R9:R10 P9:P10 N9:N10 L9:L10 J9:J10 H9:H10 F9:F10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theme="1"/>
  </sheetPr>
  <dimension ref="A1:XFC68"/>
  <sheetViews>
    <sheetView showGridLines="0" workbookViewId="0">
      <selection activeCell="N5" sqref="N5:O9"/>
    </sheetView>
  </sheetViews>
  <sheetFormatPr baseColWidth="10" defaultColWidth="0" defaultRowHeight="16" zeroHeight="1" x14ac:dyDescent="0.2"/>
  <cols>
    <col min="1" max="1" width="2.83203125" customWidth="1"/>
    <col min="2" max="2" width="12.83203125" customWidth="1"/>
    <col min="3" max="4" width="9.33203125" customWidth="1"/>
    <col min="5" max="5" width="7.33203125" customWidth="1"/>
    <col min="6" max="6" width="9.33203125" customWidth="1"/>
    <col min="7" max="7" width="7.33203125" customWidth="1"/>
    <col min="8" max="8" width="9.33203125" customWidth="1"/>
    <col min="9" max="9" width="7.33203125" customWidth="1"/>
    <col min="10" max="10" width="9.33203125" customWidth="1"/>
    <col min="11" max="11" width="7.33203125" customWidth="1"/>
    <col min="12" max="12" width="9.33203125" customWidth="1"/>
    <col min="13" max="13" width="7.33203125" customWidth="1"/>
    <col min="14" max="14" width="9.33203125" customWidth="1"/>
    <col min="15" max="15" width="7.33203125" customWidth="1"/>
    <col min="16" max="16" width="2.83203125" customWidth="1"/>
    <col min="17" max="55" width="0" style="109" hidden="1"/>
    <col min="16384" max="16384" width="0.1640625" hidden="1"/>
  </cols>
  <sheetData>
    <row r="1" spans="1:37" x14ac:dyDescent="0.2">
      <c r="A1" s="71"/>
      <c r="B1" s="71"/>
      <c r="C1" s="71"/>
      <c r="D1" s="71"/>
      <c r="E1" s="71"/>
      <c r="F1" s="71"/>
      <c r="G1" s="71"/>
      <c r="H1" s="71"/>
      <c r="I1" s="71"/>
      <c r="J1" s="71"/>
      <c r="K1" s="71"/>
      <c r="L1" s="126" t="str">
        <f>Data!$G$1</f>
        <v>© 2021</v>
      </c>
      <c r="M1" s="71"/>
      <c r="N1" s="71"/>
      <c r="O1" s="162" t="str">
        <f>Data!$M$1</f>
        <v>06.257.005.01 C</v>
      </c>
      <c r="P1" s="71"/>
      <c r="Q1" s="109" t="s">
        <v>252</v>
      </c>
      <c r="R1" s="109" t="s">
        <v>253</v>
      </c>
      <c r="S1" s="109" t="s">
        <v>254</v>
      </c>
    </row>
    <row r="2" spans="1:37" ht="62" x14ac:dyDescent="0.7">
      <c r="A2" s="71"/>
      <c r="B2" s="533" t="s">
        <v>255</v>
      </c>
      <c r="C2" s="533"/>
      <c r="D2" s="533"/>
      <c r="E2" s="533"/>
      <c r="F2" s="533"/>
      <c r="G2" s="533"/>
      <c r="H2" s="533"/>
      <c r="I2" s="533"/>
      <c r="J2" s="533"/>
      <c r="K2" s="533"/>
      <c r="L2" s="533"/>
      <c r="M2" s="533"/>
      <c r="N2" s="533"/>
      <c r="O2" s="533"/>
      <c r="P2" s="71"/>
      <c r="Q2" s="120">
        <f>D6</f>
        <v>329.89666666666699</v>
      </c>
      <c r="R2" s="120">
        <f>G6</f>
        <v>329.89666666666653</v>
      </c>
      <c r="S2" s="120">
        <f>J6</f>
        <v>329.89666666666653</v>
      </c>
      <c r="V2" s="243"/>
    </row>
    <row r="3" spans="1:37" x14ac:dyDescent="0.2">
      <c r="A3" s="71"/>
      <c r="B3" s="71"/>
      <c r="C3" s="71"/>
      <c r="D3" s="71"/>
      <c r="E3" s="71"/>
      <c r="F3" s="71"/>
      <c r="G3" s="71"/>
      <c r="H3" s="71"/>
      <c r="I3" s="71"/>
      <c r="J3" s="71"/>
      <c r="K3" s="71"/>
      <c r="L3" s="71"/>
      <c r="M3" s="71"/>
      <c r="N3" s="71"/>
      <c r="O3" s="71"/>
      <c r="P3" s="71"/>
    </row>
    <row r="4" spans="1:37" ht="21" x14ac:dyDescent="0.25">
      <c r="A4" s="71"/>
      <c r="B4" s="81" t="s">
        <v>160</v>
      </c>
      <c r="C4" s="609" t="s">
        <v>161</v>
      </c>
      <c r="D4" s="534">
        <f>N5</f>
        <v>120</v>
      </c>
      <c r="E4" s="535"/>
      <c r="F4" s="84" t="s">
        <v>104</v>
      </c>
      <c r="G4" s="534">
        <f>N5</f>
        <v>120</v>
      </c>
      <c r="H4" s="535"/>
      <c r="I4" s="84" t="s">
        <v>104</v>
      </c>
      <c r="J4" s="534">
        <f>N5</f>
        <v>120</v>
      </c>
      <c r="K4" s="535"/>
      <c r="L4" s="84" t="s">
        <v>104</v>
      </c>
      <c r="M4" s="76"/>
      <c r="N4" s="508" t="s">
        <v>103</v>
      </c>
      <c r="O4" s="509"/>
      <c r="P4" s="71"/>
      <c r="AI4" s="109" t="s">
        <v>256</v>
      </c>
      <c r="AJ4" s="109" t="s">
        <v>257</v>
      </c>
      <c r="AK4" s="109" t="s">
        <v>208</v>
      </c>
    </row>
    <row r="5" spans="1:37" ht="19" x14ac:dyDescent="0.25">
      <c r="A5" s="71"/>
      <c r="B5" s="82" t="s">
        <v>162</v>
      </c>
      <c r="C5" s="609"/>
      <c r="D5" s="536" t="s">
        <v>252</v>
      </c>
      <c r="E5" s="537"/>
      <c r="F5" s="538"/>
      <c r="G5" s="536" t="s">
        <v>253</v>
      </c>
      <c r="H5" s="537"/>
      <c r="I5" s="538"/>
      <c r="J5" s="536" t="s">
        <v>254</v>
      </c>
      <c r="K5" s="537"/>
      <c r="L5" s="538"/>
      <c r="M5" s="76"/>
      <c r="N5" s="591">
        <v>120</v>
      </c>
      <c r="O5" s="591"/>
      <c r="P5" s="71"/>
      <c r="Q5" s="109" t="s">
        <v>258</v>
      </c>
      <c r="R5" s="109" t="s">
        <v>259</v>
      </c>
      <c r="S5" s="109" t="s">
        <v>260</v>
      </c>
      <c r="T5" s="109" t="s">
        <v>261</v>
      </c>
      <c r="U5" s="109" t="s">
        <v>262</v>
      </c>
      <c r="V5" s="109" t="s">
        <v>263</v>
      </c>
      <c r="AI5" s="109">
        <f>SUM(AI12:AI1048576)</f>
        <v>0</v>
      </c>
      <c r="AJ5" s="109">
        <f>SUM(AJ12:AJ1048576)</f>
        <v>0</v>
      </c>
      <c r="AK5" s="109">
        <f>SUM(AK12:AK1048576)</f>
        <v>0</v>
      </c>
    </row>
    <row r="6" spans="1:37" ht="19" x14ac:dyDescent="0.25">
      <c r="A6" s="71"/>
      <c r="B6" s="82" t="str">
        <f>_xlfn.TEXTJOIN("",FALSE,"MLTC + ",'Master US'!D11,"%")</f>
        <v>MLTC + 30%</v>
      </c>
      <c r="C6" s="609"/>
      <c r="D6" s="582">
        <f>(Q6+T6)*(1+('Master US'!D11/100))</f>
        <v>329.89666666666699</v>
      </c>
      <c r="E6" s="583"/>
      <c r="F6" s="79" t="s">
        <v>116</v>
      </c>
      <c r="G6" s="582">
        <f>(R6+U6)*(1+('Master US'!D11/100))</f>
        <v>329.89666666666653</v>
      </c>
      <c r="H6" s="583"/>
      <c r="I6" s="79" t="s">
        <v>116</v>
      </c>
      <c r="J6" s="582">
        <f>(S6+V6)*(1+('Master US'!D11/100))</f>
        <v>329.89666666666653</v>
      </c>
      <c r="K6" s="583"/>
      <c r="L6" s="79" t="s">
        <v>116</v>
      </c>
      <c r="M6" s="76"/>
      <c r="N6" s="592"/>
      <c r="O6" s="592"/>
      <c r="P6" s="71"/>
      <c r="Q6" s="109">
        <f t="shared" ref="Q6:V6" si="0">SUM(Q30:Q60)</f>
        <v>137.23333333333341</v>
      </c>
      <c r="R6" s="109">
        <f t="shared" si="0"/>
        <v>137.23333333333341</v>
      </c>
      <c r="S6" s="109">
        <f t="shared" si="0"/>
        <v>137.23333333333341</v>
      </c>
      <c r="T6" s="109">
        <f t="shared" si="0"/>
        <v>116.5333333333335</v>
      </c>
      <c r="U6" s="109">
        <f t="shared" si="0"/>
        <v>116.53333333333316</v>
      </c>
      <c r="V6" s="109">
        <f t="shared" si="0"/>
        <v>116.53333333333316</v>
      </c>
    </row>
    <row r="7" spans="1:37" ht="19" x14ac:dyDescent="0.25">
      <c r="A7" s="71"/>
      <c r="B7" s="82" t="s">
        <v>109</v>
      </c>
      <c r="C7" s="609"/>
      <c r="D7" s="582">
        <f>(Q6+T6)</f>
        <v>253.76666666666691</v>
      </c>
      <c r="E7" s="583"/>
      <c r="F7" s="79" t="s">
        <v>116</v>
      </c>
      <c r="G7" s="582">
        <f>(R6+U6)</f>
        <v>253.76666666666657</v>
      </c>
      <c r="H7" s="583"/>
      <c r="I7" s="79" t="s">
        <v>116</v>
      </c>
      <c r="J7" s="582">
        <f>(S6+V6)</f>
        <v>253.76666666666657</v>
      </c>
      <c r="K7" s="583"/>
      <c r="L7" s="79" t="s">
        <v>116</v>
      </c>
      <c r="M7" s="76"/>
      <c r="N7" s="592"/>
      <c r="O7" s="592"/>
      <c r="P7" s="71"/>
    </row>
    <row r="8" spans="1:37" ht="19" x14ac:dyDescent="0.25">
      <c r="A8" s="71"/>
      <c r="B8" s="82" t="s">
        <v>264</v>
      </c>
      <c r="C8" s="609"/>
      <c r="D8" s="612">
        <f>D4*(IMABS(IMSUM(Z8,W8)))</f>
        <v>50737.99999999992</v>
      </c>
      <c r="E8" s="613"/>
      <c r="F8" s="79" t="s">
        <v>265</v>
      </c>
      <c r="G8" s="612">
        <f>G4*(IMABS(IMSUM(AA8,X8)))</f>
        <v>50737.999999999942</v>
      </c>
      <c r="H8" s="613"/>
      <c r="I8" s="79" t="s">
        <v>265</v>
      </c>
      <c r="J8" s="612">
        <f>J4*(IMABS(IMSUM(AB8,Y8)))</f>
        <v>50737.999999999942</v>
      </c>
      <c r="K8" s="613"/>
      <c r="L8" s="79" t="s">
        <v>265</v>
      </c>
      <c r="M8" s="76"/>
      <c r="N8" s="592"/>
      <c r="O8" s="592"/>
      <c r="P8" s="71"/>
      <c r="W8" s="109" t="str">
        <f t="shared" ref="W8:AB8" si="1">IMSUM(W30:W60)</f>
        <v>208.916666666666</v>
      </c>
      <c r="X8" s="109" t="str">
        <f t="shared" si="1"/>
        <v>-104.458333333333-180.927140607299i</v>
      </c>
      <c r="Y8" s="109" t="str">
        <f t="shared" si="1"/>
        <v>-104.458333333333+180.927140607299i</v>
      </c>
      <c r="Z8" s="109" t="str">
        <f t="shared" si="1"/>
        <v>213.9</v>
      </c>
      <c r="AA8" s="109" t="str">
        <f t="shared" si="1"/>
        <v>-106.95-185.242833869491i</v>
      </c>
      <c r="AB8" s="109" t="str">
        <f t="shared" si="1"/>
        <v>-106.95+185.242833869491i</v>
      </c>
    </row>
    <row r="9" spans="1:37" ht="19" x14ac:dyDescent="0.25">
      <c r="A9" s="71"/>
      <c r="B9" s="83" t="s">
        <v>266</v>
      </c>
      <c r="C9" s="609"/>
      <c r="D9" s="610">
        <f>AC9+AF9</f>
        <v>30452.000000000025</v>
      </c>
      <c r="E9" s="611"/>
      <c r="F9" s="80" t="s">
        <v>267</v>
      </c>
      <c r="G9" s="610">
        <f>AD9+AG9</f>
        <v>30451.999999999989</v>
      </c>
      <c r="H9" s="611"/>
      <c r="I9" s="80" t="s">
        <v>267</v>
      </c>
      <c r="J9" s="610">
        <f>AE9+AH9</f>
        <v>30451.999999999989</v>
      </c>
      <c r="K9" s="611"/>
      <c r="L9" s="80" t="s">
        <v>267</v>
      </c>
      <c r="M9" s="76"/>
      <c r="N9" s="592"/>
      <c r="O9" s="592"/>
      <c r="P9" s="71"/>
      <c r="AC9" s="109">
        <f t="shared" ref="AC9:AH9" si="2">SUM(AC30:AC60)</f>
        <v>16468.000000000007</v>
      </c>
      <c r="AD9" s="109">
        <f t="shared" si="2"/>
        <v>16468.000000000007</v>
      </c>
      <c r="AE9" s="109">
        <f t="shared" si="2"/>
        <v>16468.000000000007</v>
      </c>
      <c r="AF9" s="109">
        <f t="shared" si="2"/>
        <v>13984.000000000018</v>
      </c>
      <c r="AG9" s="109">
        <f t="shared" si="2"/>
        <v>13983.999999999982</v>
      </c>
      <c r="AH9" s="109">
        <f t="shared" si="2"/>
        <v>13983.999999999982</v>
      </c>
    </row>
    <row r="10" spans="1:37" ht="19" x14ac:dyDescent="0.25">
      <c r="A10" s="71"/>
      <c r="B10" s="76"/>
      <c r="C10" s="76"/>
      <c r="D10" s="77"/>
      <c r="E10" s="76"/>
      <c r="F10" s="77"/>
      <c r="G10" s="76"/>
      <c r="H10" s="77"/>
      <c r="I10" s="76"/>
      <c r="J10" s="77"/>
      <c r="K10" s="76"/>
      <c r="L10" s="77"/>
      <c r="M10" s="76"/>
      <c r="N10" s="77"/>
      <c r="O10" s="76"/>
      <c r="P10" s="71"/>
    </row>
    <row r="11" spans="1:37" ht="51" customHeight="1" x14ac:dyDescent="0.2">
      <c r="A11" s="71"/>
      <c r="B11" s="595" t="s">
        <v>172</v>
      </c>
      <c r="C11" s="596"/>
      <c r="D11" s="402">
        <v>30</v>
      </c>
      <c r="E11" s="401"/>
      <c r="F11" s="594" t="s">
        <v>173</v>
      </c>
      <c r="G11" s="594"/>
      <c r="H11" s="617">
        <f>((SQRT(POWER(D4,2)+POWER(G4,2)+POWER(J4,2))*(SQRT(POWER(IMABS(IMSUM(W8,Z8)),2)+POWER(IMABS(IMSUM(X8,AA8)),2)+POWER(IMABS(IMSUM(Y8,AB8)),2)))))/1000</f>
        <v>152.2139999999998</v>
      </c>
      <c r="I11" s="618"/>
      <c r="J11" s="614" t="str">
        <f>IF(AK5=0,"Yes ! O K !",IF(AND(AI5=0,AJ5&gt;0),"Yes ! NOT UL ","NO ! Verify !"))</f>
        <v>Yes ! O K !</v>
      </c>
      <c r="K11" s="615"/>
      <c r="L11" s="615"/>
      <c r="M11" s="615"/>
      <c r="N11" s="615"/>
      <c r="O11" s="616"/>
      <c r="P11" s="71"/>
    </row>
    <row r="12" spans="1:37" ht="19" x14ac:dyDescent="0.25">
      <c r="A12" s="71"/>
      <c r="B12" s="76"/>
      <c r="C12" s="76"/>
      <c r="D12" s="77"/>
      <c r="E12" s="76"/>
      <c r="F12" s="77"/>
      <c r="G12" s="76"/>
      <c r="H12" s="77"/>
      <c r="I12" s="76"/>
      <c r="J12" s="77"/>
      <c r="K12" s="76"/>
      <c r="L12" s="77"/>
      <c r="M12" s="76"/>
      <c r="N12" s="77"/>
      <c r="O12" s="76"/>
      <c r="P12" s="71"/>
    </row>
    <row r="13" spans="1:37" ht="19" x14ac:dyDescent="0.25">
      <c r="A13" s="71"/>
      <c r="B13" s="76"/>
      <c r="C13" s="76"/>
      <c r="D13" s="77"/>
      <c r="E13" s="76"/>
      <c r="F13" s="77"/>
      <c r="G13" s="76"/>
      <c r="H13" s="77"/>
      <c r="I13" s="76"/>
      <c r="J13" s="77"/>
      <c r="K13" s="76"/>
      <c r="L13" s="77"/>
      <c r="M13" s="76"/>
      <c r="N13" s="77"/>
      <c r="O13" s="76"/>
      <c r="P13" s="71"/>
    </row>
    <row r="14" spans="1:37" ht="18" customHeight="1" x14ac:dyDescent="0.2">
      <c r="A14" s="71"/>
      <c r="B14" s="597" t="s">
        <v>268</v>
      </c>
      <c r="C14" s="598"/>
      <c r="D14" s="598"/>
      <c r="E14" s="599"/>
      <c r="F14" s="603" t="s">
        <v>269</v>
      </c>
      <c r="G14" s="604"/>
      <c r="H14" s="604"/>
      <c r="I14" s="604"/>
      <c r="J14" s="604"/>
      <c r="K14" s="604"/>
      <c r="L14" s="604"/>
      <c r="M14" s="604"/>
      <c r="N14" s="604"/>
      <c r="O14" s="605"/>
      <c r="P14" s="71"/>
    </row>
    <row r="15" spans="1:37" ht="18" customHeight="1" x14ac:dyDescent="0.2">
      <c r="A15" s="71"/>
      <c r="B15" s="600"/>
      <c r="C15" s="601"/>
      <c r="D15" s="601"/>
      <c r="E15" s="602"/>
      <c r="F15" s="606"/>
      <c r="G15" s="607"/>
      <c r="H15" s="607"/>
      <c r="I15" s="607"/>
      <c r="J15" s="607"/>
      <c r="K15" s="607"/>
      <c r="L15" s="607"/>
      <c r="M15" s="607"/>
      <c r="N15" s="607"/>
      <c r="O15" s="608"/>
      <c r="P15" s="71"/>
    </row>
    <row r="16" spans="1:37" ht="19" x14ac:dyDescent="0.25">
      <c r="A16" s="71"/>
      <c r="B16" s="85"/>
      <c r="C16" s="76"/>
      <c r="D16" s="77"/>
      <c r="E16" s="79"/>
      <c r="F16" s="77"/>
      <c r="G16" s="76"/>
      <c r="H16" s="77"/>
      <c r="I16" s="76"/>
      <c r="J16" s="77"/>
      <c r="K16" s="76"/>
      <c r="L16" s="77"/>
      <c r="M16" s="76"/>
      <c r="N16" s="77"/>
      <c r="O16" s="79"/>
      <c r="P16" s="71"/>
    </row>
    <row r="17" spans="1:41" ht="19" x14ac:dyDescent="0.25">
      <c r="A17" s="71"/>
      <c r="B17" s="85"/>
      <c r="C17" s="76"/>
      <c r="D17" s="77"/>
      <c r="E17" s="79"/>
      <c r="F17" s="77"/>
      <c r="G17" s="76"/>
      <c r="H17" s="77"/>
      <c r="I17" s="76"/>
      <c r="J17" s="77"/>
      <c r="K17" s="76"/>
      <c r="L17" s="77"/>
      <c r="M17" s="76"/>
      <c r="N17" s="77"/>
      <c r="O17" s="79"/>
      <c r="P17" s="71"/>
    </row>
    <row r="18" spans="1:41" ht="19" x14ac:dyDescent="0.25">
      <c r="A18" s="71"/>
      <c r="B18" s="85"/>
      <c r="C18" s="76"/>
      <c r="D18" s="77"/>
      <c r="E18" s="79"/>
      <c r="F18" s="77"/>
      <c r="G18" s="76"/>
      <c r="H18" s="77"/>
      <c r="I18" s="76"/>
      <c r="J18" s="77"/>
      <c r="K18" s="76"/>
      <c r="L18" s="77"/>
      <c r="M18" s="76"/>
      <c r="N18" s="77"/>
      <c r="O18" s="79"/>
      <c r="P18" s="71"/>
    </row>
    <row r="19" spans="1:41" ht="19" x14ac:dyDescent="0.25">
      <c r="A19" s="71"/>
      <c r="B19" s="85"/>
      <c r="C19" s="76"/>
      <c r="D19" s="77"/>
      <c r="E19" s="79"/>
      <c r="F19" s="77"/>
      <c r="G19" s="76"/>
      <c r="H19" s="77"/>
      <c r="I19" s="76"/>
      <c r="J19" s="77"/>
      <c r="K19" s="76"/>
      <c r="L19" s="77"/>
      <c r="M19" s="76"/>
      <c r="N19" s="77"/>
      <c r="O19" s="79"/>
      <c r="P19" s="71"/>
    </row>
    <row r="20" spans="1:41" ht="19" x14ac:dyDescent="0.25">
      <c r="A20" s="71"/>
      <c r="B20" s="85"/>
      <c r="C20" s="76"/>
      <c r="D20" s="77"/>
      <c r="E20" s="79"/>
      <c r="F20" s="77"/>
      <c r="G20" s="76"/>
      <c r="H20" s="77"/>
      <c r="I20" s="76"/>
      <c r="J20" s="77"/>
      <c r="K20" s="76"/>
      <c r="L20" s="77"/>
      <c r="M20" s="76"/>
      <c r="N20" s="77"/>
      <c r="O20" s="79"/>
      <c r="P20" s="71"/>
    </row>
    <row r="21" spans="1:41" ht="19" x14ac:dyDescent="0.25">
      <c r="A21" s="71"/>
      <c r="B21" s="85"/>
      <c r="C21" s="76"/>
      <c r="D21" s="77"/>
      <c r="E21" s="79"/>
      <c r="F21" s="77"/>
      <c r="G21" s="76"/>
      <c r="H21" s="77"/>
      <c r="I21" s="76"/>
      <c r="J21" s="77"/>
      <c r="K21" s="76"/>
      <c r="L21" s="77"/>
      <c r="M21" s="76"/>
      <c r="N21" s="77"/>
      <c r="O21" s="79"/>
      <c r="P21" s="71"/>
    </row>
    <row r="22" spans="1:41" ht="19" x14ac:dyDescent="0.25">
      <c r="A22" s="71"/>
      <c r="B22" s="85"/>
      <c r="C22" s="76"/>
      <c r="D22" s="77"/>
      <c r="E22" s="79"/>
      <c r="F22" s="77"/>
      <c r="G22" s="76"/>
      <c r="H22" s="77"/>
      <c r="I22" s="76"/>
      <c r="J22" s="77"/>
      <c r="K22" s="76"/>
      <c r="L22" s="77"/>
      <c r="M22" s="76"/>
      <c r="N22" s="77"/>
      <c r="O22" s="79"/>
      <c r="P22" s="71"/>
    </row>
    <row r="23" spans="1:41" ht="19" x14ac:dyDescent="0.25">
      <c r="A23" s="71"/>
      <c r="B23" s="85"/>
      <c r="C23" s="76"/>
      <c r="D23" s="77"/>
      <c r="E23" s="79"/>
      <c r="F23" s="77"/>
      <c r="G23" s="76"/>
      <c r="H23" s="77"/>
      <c r="I23" s="76"/>
      <c r="J23" s="77"/>
      <c r="K23" s="76"/>
      <c r="L23" s="77"/>
      <c r="M23" s="76"/>
      <c r="N23" s="77"/>
      <c r="O23" s="79"/>
      <c r="P23" s="71"/>
    </row>
    <row r="24" spans="1:41" ht="19" x14ac:dyDescent="0.25">
      <c r="A24" s="71"/>
      <c r="B24" s="85"/>
      <c r="C24" s="76"/>
      <c r="D24" s="77"/>
      <c r="E24" s="79"/>
      <c r="F24" s="77"/>
      <c r="G24" s="76"/>
      <c r="H24" s="77"/>
      <c r="I24" s="76"/>
      <c r="J24" s="77"/>
      <c r="K24" s="76"/>
      <c r="L24" s="77"/>
      <c r="M24" s="76"/>
      <c r="N24" s="77"/>
      <c r="O24" s="79"/>
      <c r="P24" s="71"/>
    </row>
    <row r="25" spans="1:41" ht="19" x14ac:dyDescent="0.25">
      <c r="A25" s="71"/>
      <c r="B25" s="85"/>
      <c r="C25" s="76"/>
      <c r="D25" s="77"/>
      <c r="E25" s="79"/>
      <c r="F25" s="77"/>
      <c r="G25" s="76"/>
      <c r="H25" s="77"/>
      <c r="I25" s="76"/>
      <c r="J25" s="77"/>
      <c r="K25" s="76"/>
      <c r="L25" s="77"/>
      <c r="M25" s="76"/>
      <c r="N25" s="77"/>
      <c r="O25" s="79"/>
      <c r="P25" s="71"/>
    </row>
    <row r="26" spans="1:41" ht="19" x14ac:dyDescent="0.25">
      <c r="A26" s="71"/>
      <c r="B26" s="85"/>
      <c r="C26" s="76"/>
      <c r="D26" s="77"/>
      <c r="E26" s="79"/>
      <c r="F26" s="77"/>
      <c r="G26" s="76"/>
      <c r="H26" s="77"/>
      <c r="I26" s="76"/>
      <c r="J26" s="77"/>
      <c r="K26" s="76"/>
      <c r="L26" s="77"/>
      <c r="M26" s="76"/>
      <c r="N26" s="77"/>
      <c r="O26" s="79"/>
      <c r="P26" s="71"/>
    </row>
    <row r="27" spans="1:41" ht="19" x14ac:dyDescent="0.25">
      <c r="A27" s="71"/>
      <c r="B27" s="85"/>
      <c r="C27" s="76"/>
      <c r="D27" s="77"/>
      <c r="E27" s="79"/>
      <c r="F27" s="77"/>
      <c r="G27" s="76"/>
      <c r="H27" s="77"/>
      <c r="I27" s="76"/>
      <c r="J27" s="77"/>
      <c r="K27" s="76"/>
      <c r="L27" s="77"/>
      <c r="M27" s="76"/>
      <c r="N27" s="77"/>
      <c r="O27" s="79"/>
      <c r="P27" s="71"/>
    </row>
    <row r="28" spans="1:41" ht="19" x14ac:dyDescent="0.25">
      <c r="A28" s="71"/>
      <c r="B28" s="85"/>
      <c r="C28" s="76"/>
      <c r="D28" s="76"/>
      <c r="E28" s="79"/>
      <c r="F28" s="76"/>
      <c r="G28" s="76"/>
      <c r="H28" s="76"/>
      <c r="I28" s="76"/>
      <c r="J28" s="76"/>
      <c r="K28" s="76"/>
      <c r="L28" s="76"/>
      <c r="M28" s="76"/>
      <c r="N28" s="76"/>
      <c r="O28" s="79"/>
      <c r="P28" s="71"/>
    </row>
    <row r="29" spans="1:41" ht="19" x14ac:dyDescent="0.25">
      <c r="A29" s="71"/>
      <c r="B29" s="86"/>
      <c r="C29" s="78"/>
      <c r="D29" s="78"/>
      <c r="E29" s="80"/>
      <c r="F29" s="78"/>
      <c r="G29" s="78"/>
      <c r="H29" s="78"/>
      <c r="I29" s="78"/>
      <c r="J29" s="78"/>
      <c r="K29" s="78"/>
      <c r="L29" s="78"/>
      <c r="M29" s="78"/>
      <c r="N29" s="78"/>
      <c r="O29" s="80"/>
      <c r="P29" s="71"/>
    </row>
    <row r="30" spans="1:41" ht="19" x14ac:dyDescent="0.25">
      <c r="A30" s="71"/>
      <c r="B30" s="76" t="str">
        <f>Data!$T$1</f>
        <v>Meyer Sound Laboratories, Inc. Berkeley, California, USA                                 www.meyersound.com</v>
      </c>
      <c r="C30" s="76"/>
      <c r="D30" s="76"/>
      <c r="E30" s="76"/>
      <c r="F30" s="76"/>
      <c r="G30" s="76"/>
      <c r="H30" s="76"/>
      <c r="I30" s="76"/>
      <c r="J30" s="76"/>
      <c r="K30" s="76"/>
      <c r="L30" s="76"/>
      <c r="M30" s="76"/>
      <c r="N30" s="76"/>
      <c r="O30" s="165" t="str">
        <f>Data!$M$1</f>
        <v>06.257.005.01 C</v>
      </c>
      <c r="P30" s="71"/>
    </row>
    <row r="31" spans="1:41" ht="19" x14ac:dyDescent="0.25">
      <c r="A31" s="71"/>
      <c r="B31" s="76"/>
      <c r="C31" s="76"/>
      <c r="D31" s="76"/>
      <c r="E31" s="76"/>
      <c r="F31" s="76"/>
      <c r="G31" s="76"/>
      <c r="H31" s="76"/>
      <c r="I31" s="76"/>
      <c r="J31" s="76"/>
      <c r="K31" s="76"/>
      <c r="L31" s="76"/>
      <c r="M31" s="76"/>
      <c r="N31" s="76"/>
      <c r="O31" s="76"/>
      <c r="P31" s="71"/>
    </row>
    <row r="32" spans="1:41" ht="19" customHeight="1" x14ac:dyDescent="0.25">
      <c r="A32" s="71"/>
      <c r="B32" s="81" t="s">
        <v>162</v>
      </c>
      <c r="C32" s="593">
        <v>1</v>
      </c>
      <c r="D32" s="510" t="s">
        <v>258</v>
      </c>
      <c r="E32" s="511"/>
      <c r="F32" s="510" t="s">
        <v>259</v>
      </c>
      <c r="G32" s="511"/>
      <c r="H32" s="510" t="s">
        <v>260</v>
      </c>
      <c r="I32" s="511"/>
      <c r="J32" s="510" t="s">
        <v>261</v>
      </c>
      <c r="K32" s="511"/>
      <c r="L32" s="510" t="s">
        <v>262</v>
      </c>
      <c r="M32" s="511"/>
      <c r="N32" s="510" t="s">
        <v>263</v>
      </c>
      <c r="O32" s="511"/>
      <c r="P32" s="71"/>
      <c r="AI32" s="109">
        <f>IF($C$35&gt;0,AM32,0)</f>
        <v>0</v>
      </c>
      <c r="AJ32" s="109">
        <f>IF($C$35&gt;0,AN32,0)</f>
        <v>0</v>
      </c>
      <c r="AK32" s="109">
        <f>IF($C$35&gt;0,AO32,0)</f>
        <v>0</v>
      </c>
      <c r="AM32" s="109">
        <f>'US MDM-5000'!S14</f>
        <v>0</v>
      </c>
      <c r="AN32" s="109">
        <f>'US MDM-5000'!T14</f>
        <v>0</v>
      </c>
      <c r="AO32" s="109">
        <f>'US MDM-5000'!U14</f>
        <v>0</v>
      </c>
    </row>
    <row r="33" spans="1:41" ht="19" customHeight="1" x14ac:dyDescent="0.25">
      <c r="A33" s="71"/>
      <c r="B33" s="82" t="s">
        <v>109</v>
      </c>
      <c r="C33" s="593"/>
      <c r="D33" s="143">
        <f>'US MDM-5000'!D5</f>
        <v>22.233333333333398</v>
      </c>
      <c r="E33" s="79" t="s">
        <v>116</v>
      </c>
      <c r="F33" s="143">
        <f>'US MDM-5000'!E5</f>
        <v>22.233333333333331</v>
      </c>
      <c r="G33" s="79" t="s">
        <v>116</v>
      </c>
      <c r="H33" s="143">
        <f>'US MDM-5000'!F5</f>
        <v>22.233333333333331</v>
      </c>
      <c r="I33" s="79" t="s">
        <v>116</v>
      </c>
      <c r="J33" s="143">
        <f>'US MDM-5000'!G5</f>
        <v>20.7</v>
      </c>
      <c r="K33" s="79" t="s">
        <v>116</v>
      </c>
      <c r="L33" s="143">
        <f>'US MDM-5000'!H5</f>
        <v>20.700000000000017</v>
      </c>
      <c r="M33" s="79" t="s">
        <v>116</v>
      </c>
      <c r="N33" s="143">
        <f>'US MDM-5000'!I5</f>
        <v>20.700000000000017</v>
      </c>
      <c r="O33" s="79" t="s">
        <v>116</v>
      </c>
      <c r="P33" s="71"/>
      <c r="Q33" s="110">
        <f>D33*$C$35</f>
        <v>22.233333333333398</v>
      </c>
      <c r="R33" s="110">
        <f>F33*$C$35</f>
        <v>22.233333333333331</v>
      </c>
      <c r="S33" s="110">
        <f>H33*$C$35</f>
        <v>22.233333333333331</v>
      </c>
      <c r="T33" s="110">
        <f>J33*$C$35</f>
        <v>20.7</v>
      </c>
      <c r="U33" s="110">
        <f>L33*$C$35</f>
        <v>20.700000000000017</v>
      </c>
      <c r="V33" s="110">
        <f>N33*$C$35</f>
        <v>20.700000000000017</v>
      </c>
    </row>
    <row r="34" spans="1:41" ht="19" customHeight="1" x14ac:dyDescent="0.25">
      <c r="A34" s="71"/>
      <c r="B34" s="82" t="s">
        <v>264</v>
      </c>
      <c r="C34" s="125" t="s">
        <v>120</v>
      </c>
      <c r="D34" s="144">
        <f>'US MDM-5000'!D6</f>
        <v>3910.0000000000082</v>
      </c>
      <c r="E34" s="122" t="s">
        <v>265</v>
      </c>
      <c r="F34" s="144">
        <f>'US MDM-5000'!E6</f>
        <v>3909.9999999999959</v>
      </c>
      <c r="G34" s="122" t="s">
        <v>265</v>
      </c>
      <c r="H34" s="144">
        <f>'US MDM-5000'!F6</f>
        <v>3909.9999999999959</v>
      </c>
      <c r="I34" s="122" t="s">
        <v>265</v>
      </c>
      <c r="J34" s="144">
        <f>'US MDM-5000'!G6</f>
        <v>4048.0000000000077</v>
      </c>
      <c r="K34" s="122" t="s">
        <v>265</v>
      </c>
      <c r="L34" s="144">
        <f>'US MDM-5000'!H6</f>
        <v>4048.0000000000055</v>
      </c>
      <c r="M34" s="122" t="s">
        <v>265</v>
      </c>
      <c r="N34" s="144">
        <f>'US MDM-5000'!I6</f>
        <v>4048.0000000000055</v>
      </c>
      <c r="O34" s="122" t="s">
        <v>265</v>
      </c>
      <c r="P34" s="71"/>
      <c r="Q34" s="110"/>
      <c r="R34" s="110"/>
      <c r="S34" s="110"/>
      <c r="T34" s="110"/>
      <c r="U34" s="110"/>
      <c r="V34" s="110"/>
      <c r="W34" s="110" t="str">
        <f>IMPRODUCT('US MDM-5000'!W9,COMPLEX($C$35,0))</f>
        <v>32.5833333333334</v>
      </c>
      <c r="X34" s="110" t="str">
        <f>IMPRODUCT('US MDM-5000'!X9,COMPLEX($C$35,0))</f>
        <v>-16.2916666666667-28.2179944066429i</v>
      </c>
      <c r="Y34" s="110" t="str">
        <f>IMPRODUCT('US MDM-5000'!Y9,COMPLEX($C$35,0))</f>
        <v>-16.2916666666667+28.2179944066429i</v>
      </c>
      <c r="Z34" s="110" t="str">
        <f>IMPRODUCT('US MDM-5000'!AA9,COMPLEX($C$35,0))</f>
        <v>33.7333333333334</v>
      </c>
      <c r="AA34" s="110" t="str">
        <f>IMPRODUCT('US MDM-5000'!AB9,COMPLEX($C$35,0))</f>
        <v>-16.8666666666667-29.2139236209951i</v>
      </c>
      <c r="AB34" s="110" t="str">
        <f>IMPRODUCT('US MDM-5000'!AC9,COMPLEX($C$35,0))</f>
        <v>-16.8666666666667+29.2139236209951i</v>
      </c>
    </row>
    <row r="35" spans="1:41" ht="19" customHeight="1" x14ac:dyDescent="0.25">
      <c r="A35" s="71"/>
      <c r="B35" s="83" t="s">
        <v>266</v>
      </c>
      <c r="C35" s="140">
        <v>1</v>
      </c>
      <c r="D35" s="145">
        <f>'US MDM-5000'!D7</f>
        <v>2668.0000000000077</v>
      </c>
      <c r="E35" s="123" t="s">
        <v>267</v>
      </c>
      <c r="F35" s="145">
        <f>'US MDM-5000'!E7</f>
        <v>2667.9999999999995</v>
      </c>
      <c r="G35" s="123" t="s">
        <v>267</v>
      </c>
      <c r="H35" s="145">
        <f>'US MDM-5000'!F7</f>
        <v>2667.9999999999995</v>
      </c>
      <c r="I35" s="123" t="s">
        <v>267</v>
      </c>
      <c r="J35" s="145">
        <f>'US MDM-5000'!G7</f>
        <v>2484</v>
      </c>
      <c r="K35" s="123" t="s">
        <v>267</v>
      </c>
      <c r="L35" s="145">
        <f>'US MDM-5000'!H7</f>
        <v>2484.0000000000018</v>
      </c>
      <c r="M35" s="123" t="s">
        <v>267</v>
      </c>
      <c r="N35" s="145">
        <f>'US MDM-5000'!I7</f>
        <v>2484.0000000000018</v>
      </c>
      <c r="O35" s="123" t="s">
        <v>267</v>
      </c>
      <c r="P35" s="71"/>
      <c r="Q35" s="110"/>
      <c r="R35" s="110"/>
      <c r="S35" s="110"/>
      <c r="T35" s="110"/>
      <c r="U35" s="110"/>
      <c r="V35" s="110"/>
      <c r="AC35" s="110">
        <f>D35*$C$35</f>
        <v>2668.0000000000077</v>
      </c>
      <c r="AD35" s="110">
        <f>F35*$C$35</f>
        <v>2667.9999999999995</v>
      </c>
      <c r="AE35" s="110">
        <f>H35*$C$35</f>
        <v>2667.9999999999995</v>
      </c>
      <c r="AF35" s="110">
        <f>J35*$C$35</f>
        <v>2484</v>
      </c>
      <c r="AG35" s="110">
        <f>L35*$C$35</f>
        <v>2484.0000000000018</v>
      </c>
      <c r="AH35" s="110">
        <f>N35*$C$35</f>
        <v>2484.0000000000018</v>
      </c>
    </row>
    <row r="36" spans="1:41" x14ac:dyDescent="0.2">
      <c r="A36" s="71"/>
      <c r="B36" s="71"/>
      <c r="C36" s="71"/>
      <c r="D36" s="71"/>
      <c r="E36" s="71"/>
      <c r="F36" s="71"/>
      <c r="G36" s="71"/>
      <c r="H36" s="71"/>
      <c r="I36" s="71"/>
      <c r="J36" s="71"/>
      <c r="K36" s="71"/>
      <c r="L36" s="71"/>
      <c r="M36" s="71"/>
      <c r="N36" s="71"/>
      <c r="O36" s="71"/>
      <c r="P36" s="71"/>
      <c r="Q36" s="110"/>
      <c r="R36" s="110"/>
      <c r="S36" s="110"/>
      <c r="T36" s="110"/>
      <c r="U36" s="110"/>
      <c r="V36" s="110"/>
    </row>
    <row r="37" spans="1:41" ht="18" customHeight="1" x14ac:dyDescent="0.25">
      <c r="A37" s="71"/>
      <c r="B37" s="81" t="s">
        <v>162</v>
      </c>
      <c r="C37" s="593">
        <v>2</v>
      </c>
      <c r="D37" s="510" t="s">
        <v>258</v>
      </c>
      <c r="E37" s="511"/>
      <c r="F37" s="510" t="s">
        <v>259</v>
      </c>
      <c r="G37" s="511"/>
      <c r="H37" s="510" t="s">
        <v>260</v>
      </c>
      <c r="I37" s="511"/>
      <c r="J37" s="510" t="s">
        <v>261</v>
      </c>
      <c r="K37" s="511"/>
      <c r="L37" s="510" t="s">
        <v>262</v>
      </c>
      <c r="M37" s="511"/>
      <c r="N37" s="510" t="s">
        <v>263</v>
      </c>
      <c r="O37" s="511"/>
      <c r="P37" s="71"/>
      <c r="Q37" s="110"/>
      <c r="R37" s="110"/>
      <c r="S37" s="110"/>
      <c r="T37" s="110"/>
      <c r="U37" s="110"/>
      <c r="V37" s="110"/>
      <c r="AI37" s="109">
        <f>IF($C$40&gt;0,AM37,0)</f>
        <v>0</v>
      </c>
      <c r="AJ37" s="109">
        <f>IF($C$40&gt;0,AN37,0)</f>
        <v>0</v>
      </c>
      <c r="AK37" s="109">
        <f>IF($C$40&gt;0,AO37,0)</f>
        <v>0</v>
      </c>
      <c r="AM37" s="109">
        <f>'US MDM-5000'!S54</f>
        <v>0</v>
      </c>
      <c r="AN37" s="109">
        <f>'US MDM-5000'!T54</f>
        <v>0</v>
      </c>
      <c r="AO37" s="109">
        <f>'US MDM-5000'!U54</f>
        <v>0</v>
      </c>
    </row>
    <row r="38" spans="1:41" ht="18" customHeight="1" x14ac:dyDescent="0.25">
      <c r="A38" s="71"/>
      <c r="B38" s="82" t="s">
        <v>109</v>
      </c>
      <c r="C38" s="593"/>
      <c r="D38" s="143">
        <f>'US MDM-5000'!D45</f>
        <v>23</v>
      </c>
      <c r="E38" s="79" t="s">
        <v>116</v>
      </c>
      <c r="F38" s="143">
        <f>'US MDM-5000'!E45</f>
        <v>23.000000000000014</v>
      </c>
      <c r="G38" s="79" t="s">
        <v>116</v>
      </c>
      <c r="H38" s="143">
        <f>'US MDM-5000'!F45</f>
        <v>23.000000000000014</v>
      </c>
      <c r="I38" s="79" t="s">
        <v>116</v>
      </c>
      <c r="J38" s="143">
        <f>'US MDM-5000'!G45</f>
        <v>19.1666666666667</v>
      </c>
      <c r="K38" s="79" t="s">
        <v>116</v>
      </c>
      <c r="L38" s="143">
        <f>'US MDM-5000'!H45</f>
        <v>19.166666666666629</v>
      </c>
      <c r="M38" s="79" t="s">
        <v>116</v>
      </c>
      <c r="N38" s="143">
        <f>'US MDM-5000'!I45</f>
        <v>19.166666666666629</v>
      </c>
      <c r="O38" s="79" t="s">
        <v>116</v>
      </c>
      <c r="P38" s="71"/>
      <c r="Q38" s="110">
        <f>D38*$C$40</f>
        <v>23</v>
      </c>
      <c r="R38" s="110">
        <f>F38*$C$40</f>
        <v>23.000000000000014</v>
      </c>
      <c r="S38" s="110">
        <f>H38*$C$40</f>
        <v>23.000000000000014</v>
      </c>
      <c r="T38" s="110">
        <f>J38*$C$40</f>
        <v>19.1666666666667</v>
      </c>
      <c r="U38" s="110">
        <f>L38*$C$40</f>
        <v>19.166666666666629</v>
      </c>
      <c r="V38" s="110">
        <f>N38*$C$40</f>
        <v>19.166666666666629</v>
      </c>
    </row>
    <row r="39" spans="1:41" ht="18" customHeight="1" x14ac:dyDescent="0.25">
      <c r="A39" s="71"/>
      <c r="B39" s="82" t="s">
        <v>264</v>
      </c>
      <c r="C39" s="125" t="s">
        <v>120</v>
      </c>
      <c r="D39" s="144">
        <f>'US MDM-5000'!D46</f>
        <v>4231.9999999999918</v>
      </c>
      <c r="E39" s="122" t="s">
        <v>265</v>
      </c>
      <c r="F39" s="144">
        <f>'US MDM-5000'!E46</f>
        <v>4231.9999999999973</v>
      </c>
      <c r="G39" s="122" t="s">
        <v>265</v>
      </c>
      <c r="H39" s="144">
        <f>'US MDM-5000'!F46</f>
        <v>4231.9999999999973</v>
      </c>
      <c r="I39" s="122" t="s">
        <v>265</v>
      </c>
      <c r="J39" s="144">
        <f>'US MDM-5000'!G46</f>
        <v>4324.0000000000082</v>
      </c>
      <c r="K39" s="122" t="s">
        <v>265</v>
      </c>
      <c r="L39" s="144">
        <f>'US MDM-5000'!H46</f>
        <v>4323.9999999999945</v>
      </c>
      <c r="M39" s="122" t="s">
        <v>265</v>
      </c>
      <c r="N39" s="144">
        <f>'US MDM-5000'!I46</f>
        <v>4323.9999999999945</v>
      </c>
      <c r="O39" s="122" t="s">
        <v>265</v>
      </c>
      <c r="P39" s="71"/>
      <c r="Q39" s="110"/>
      <c r="R39" s="110"/>
      <c r="S39" s="110"/>
      <c r="T39" s="110"/>
      <c r="U39" s="110"/>
      <c r="V39" s="110"/>
      <c r="W39" s="110" t="str">
        <f>IMPRODUCT('US MDM-5000'!W49,COMPLEX($C$40,0))</f>
        <v>35.2666666666666</v>
      </c>
      <c r="X39" s="110" t="str">
        <f>IMPRODUCT('US MDM-5000'!X49,COMPLEX($C$40,0))</f>
        <v>-17.6333333333333-30.5418292401312i</v>
      </c>
      <c r="Y39" s="110" t="str">
        <f>IMPRODUCT('US MDM-5000'!Y49,COMPLEX($C$40,0))</f>
        <v>-17.6333333333333+30.5418292401312i</v>
      </c>
      <c r="Z39" s="110" t="str">
        <f>IMPRODUCT('US MDM-5000'!AA49,COMPLEX($C$40,0))</f>
        <v>36.0333333333334</v>
      </c>
      <c r="AA39" s="110" t="str">
        <f>IMPRODUCT('US MDM-5000'!AB49,COMPLEX($C$40,0))</f>
        <v>-18.0166666666667-31.2057820496992i</v>
      </c>
      <c r="AB39" s="110" t="str">
        <f>IMPRODUCT('US MDM-5000'!AC49,COMPLEX($C$40,0))</f>
        <v>-18.0166666666667+31.2057820496992i</v>
      </c>
    </row>
    <row r="40" spans="1:41" ht="18" customHeight="1" x14ac:dyDescent="0.25">
      <c r="A40" s="71"/>
      <c r="B40" s="83" t="s">
        <v>266</v>
      </c>
      <c r="C40" s="140">
        <v>1</v>
      </c>
      <c r="D40" s="145">
        <f>'US MDM-5000'!D47</f>
        <v>2760</v>
      </c>
      <c r="E40" s="123" t="s">
        <v>267</v>
      </c>
      <c r="F40" s="145">
        <f>'US MDM-5000'!E47</f>
        <v>2760.0000000000018</v>
      </c>
      <c r="G40" s="123" t="s">
        <v>267</v>
      </c>
      <c r="H40" s="145">
        <f>'US MDM-5000'!F47</f>
        <v>2760.0000000000018</v>
      </c>
      <c r="I40" s="123" t="s">
        <v>267</v>
      </c>
      <c r="J40" s="145">
        <f>'US MDM-5000'!G47</f>
        <v>2300.0000000000041</v>
      </c>
      <c r="K40" s="123" t="s">
        <v>267</v>
      </c>
      <c r="L40" s="145">
        <f>'US MDM-5000'!H47</f>
        <v>2299.9999999999955</v>
      </c>
      <c r="M40" s="123" t="s">
        <v>267</v>
      </c>
      <c r="N40" s="145">
        <f>'US MDM-5000'!I47</f>
        <v>2299.9999999999955</v>
      </c>
      <c r="O40" s="123" t="s">
        <v>267</v>
      </c>
      <c r="P40" s="71"/>
      <c r="Q40" s="110"/>
      <c r="R40" s="110"/>
      <c r="S40" s="110"/>
      <c r="T40" s="110"/>
      <c r="U40" s="110"/>
      <c r="V40" s="110"/>
      <c r="AC40" s="110">
        <f>D40*$C$40</f>
        <v>2760</v>
      </c>
      <c r="AD40" s="110">
        <f>F40*$C$40</f>
        <v>2760.0000000000018</v>
      </c>
      <c r="AE40" s="110">
        <f>H40*$C$40</f>
        <v>2760.0000000000018</v>
      </c>
      <c r="AF40" s="110">
        <f>J40*$C$40</f>
        <v>2300.0000000000041</v>
      </c>
      <c r="AG40" s="110">
        <f>L40*$C$40</f>
        <v>2299.9999999999955</v>
      </c>
      <c r="AH40" s="110">
        <f>N40*$C$40</f>
        <v>2299.9999999999955</v>
      </c>
    </row>
    <row r="41" spans="1:41" x14ac:dyDescent="0.2">
      <c r="A41" s="71"/>
      <c r="B41" s="71"/>
      <c r="C41" s="71"/>
      <c r="D41" s="71"/>
      <c r="E41" s="71"/>
      <c r="F41" s="71"/>
      <c r="G41" s="71"/>
      <c r="H41" s="71"/>
      <c r="I41" s="71"/>
      <c r="J41" s="71"/>
      <c r="K41" s="71"/>
      <c r="L41" s="71"/>
      <c r="M41" s="71"/>
      <c r="N41" s="71"/>
      <c r="O41" s="71"/>
      <c r="P41" s="71"/>
      <c r="Q41" s="110"/>
      <c r="R41" s="110"/>
      <c r="S41" s="110"/>
      <c r="T41" s="110"/>
      <c r="U41" s="110"/>
      <c r="V41" s="110"/>
    </row>
    <row r="42" spans="1:41" ht="18" customHeight="1" x14ac:dyDescent="0.25">
      <c r="A42" s="71"/>
      <c r="B42" s="81" t="s">
        <v>162</v>
      </c>
      <c r="C42" s="593">
        <v>3</v>
      </c>
      <c r="D42" s="510" t="s">
        <v>258</v>
      </c>
      <c r="E42" s="511"/>
      <c r="F42" s="510" t="s">
        <v>259</v>
      </c>
      <c r="G42" s="511"/>
      <c r="H42" s="510" t="s">
        <v>260</v>
      </c>
      <c r="I42" s="511"/>
      <c r="J42" s="510" t="s">
        <v>261</v>
      </c>
      <c r="K42" s="511"/>
      <c r="L42" s="510" t="s">
        <v>262</v>
      </c>
      <c r="M42" s="511"/>
      <c r="N42" s="510" t="s">
        <v>263</v>
      </c>
      <c r="O42" s="511"/>
      <c r="P42" s="71"/>
      <c r="Q42" s="110"/>
      <c r="R42" s="110"/>
      <c r="S42" s="110"/>
      <c r="T42" s="110"/>
      <c r="U42" s="110"/>
      <c r="V42" s="110"/>
      <c r="AI42" s="109">
        <f>IF($C$45&gt;0,AM42,0)</f>
        <v>0</v>
      </c>
      <c r="AJ42" s="109">
        <f>IF($C$45&gt;0,AN42,0)</f>
        <v>0</v>
      </c>
      <c r="AK42" s="109">
        <f>IF($C$45&gt;0,AO42,0)</f>
        <v>0</v>
      </c>
      <c r="AM42" s="109">
        <f>'US MDM-5000'!S94</f>
        <v>0</v>
      </c>
      <c r="AN42" s="109">
        <f>'US MDM-5000'!T94</f>
        <v>0</v>
      </c>
      <c r="AO42" s="109">
        <f>'US MDM-5000'!U94</f>
        <v>0</v>
      </c>
    </row>
    <row r="43" spans="1:41" ht="18" customHeight="1" x14ac:dyDescent="0.25">
      <c r="A43" s="71"/>
      <c r="B43" s="82" t="s">
        <v>109</v>
      </c>
      <c r="C43" s="593"/>
      <c r="D43" s="143">
        <f>'US MDM-5000'!D85</f>
        <v>23</v>
      </c>
      <c r="E43" s="79" t="s">
        <v>116</v>
      </c>
      <c r="F43" s="143">
        <f>'US MDM-5000'!E85</f>
        <v>23.000000000000014</v>
      </c>
      <c r="G43" s="79" t="s">
        <v>116</v>
      </c>
      <c r="H43" s="143">
        <f>'US MDM-5000'!F85</f>
        <v>23.000000000000014</v>
      </c>
      <c r="I43" s="79" t="s">
        <v>116</v>
      </c>
      <c r="J43" s="143">
        <f>'US MDM-5000'!G85</f>
        <v>19.1666666666667</v>
      </c>
      <c r="K43" s="79" t="s">
        <v>116</v>
      </c>
      <c r="L43" s="143">
        <f>'US MDM-5000'!H85</f>
        <v>19.166666666666629</v>
      </c>
      <c r="M43" s="79" t="s">
        <v>116</v>
      </c>
      <c r="N43" s="143">
        <f>'US MDM-5000'!I85</f>
        <v>19.166666666666629</v>
      </c>
      <c r="O43" s="79" t="s">
        <v>116</v>
      </c>
      <c r="P43" s="71"/>
      <c r="Q43" s="110">
        <f>D43*$C$45</f>
        <v>23</v>
      </c>
      <c r="R43" s="110">
        <f>F43*$C$45</f>
        <v>23.000000000000014</v>
      </c>
      <c r="S43" s="110">
        <f>H43*$C$45</f>
        <v>23.000000000000014</v>
      </c>
      <c r="T43" s="110">
        <f>J43*$C$45</f>
        <v>19.1666666666667</v>
      </c>
      <c r="U43" s="110">
        <f>L43*$C$45</f>
        <v>19.166666666666629</v>
      </c>
      <c r="V43" s="110">
        <f>N43*$C$45</f>
        <v>19.166666666666629</v>
      </c>
    </row>
    <row r="44" spans="1:41" ht="18" customHeight="1" x14ac:dyDescent="0.25">
      <c r="A44" s="71"/>
      <c r="B44" s="82" t="s">
        <v>264</v>
      </c>
      <c r="C44" s="125" t="s">
        <v>120</v>
      </c>
      <c r="D44" s="144">
        <f>'US MDM-5000'!D86</f>
        <v>4231.9999999999918</v>
      </c>
      <c r="E44" s="122" t="s">
        <v>265</v>
      </c>
      <c r="F44" s="144">
        <f>'US MDM-5000'!E86</f>
        <v>4231.9999999999973</v>
      </c>
      <c r="G44" s="122" t="s">
        <v>265</v>
      </c>
      <c r="H44" s="144">
        <f>'US MDM-5000'!F86</f>
        <v>4231.9999999999973</v>
      </c>
      <c r="I44" s="122" t="s">
        <v>265</v>
      </c>
      <c r="J44" s="144">
        <f>'US MDM-5000'!G86</f>
        <v>4324.0000000000082</v>
      </c>
      <c r="K44" s="122" t="s">
        <v>265</v>
      </c>
      <c r="L44" s="144">
        <f>'US MDM-5000'!H86</f>
        <v>4323.9999999999945</v>
      </c>
      <c r="M44" s="122" t="s">
        <v>265</v>
      </c>
      <c r="N44" s="144">
        <f>'US MDM-5000'!I86</f>
        <v>4323.9999999999945</v>
      </c>
      <c r="O44" s="122" t="s">
        <v>265</v>
      </c>
      <c r="P44" s="71"/>
      <c r="Q44" s="110"/>
      <c r="R44" s="110"/>
      <c r="S44" s="110"/>
      <c r="T44" s="110"/>
      <c r="U44" s="110"/>
      <c r="V44" s="110"/>
      <c r="W44" s="110" t="str">
        <f>IMPRODUCT('US MDM-5000'!W89,COMPLEX($C$45,0))</f>
        <v>35.2666666666666</v>
      </c>
      <c r="X44" s="110" t="str">
        <f>IMPRODUCT('US MDM-5000'!X89,COMPLEX($C$45,0))</f>
        <v>-17.6333333333333-30.5418292401312i</v>
      </c>
      <c r="Y44" s="110" t="str">
        <f>IMPRODUCT('US MDM-5000'!Y89,COMPLEX($C$45,0))</f>
        <v>-17.6333333333333+30.5418292401312i</v>
      </c>
      <c r="Z44" s="110" t="str">
        <f>IMPRODUCT('US MDM-5000'!AA89,COMPLEX($C$45,0))</f>
        <v>36.0333333333334</v>
      </c>
      <c r="AA44" s="110" t="str">
        <f>IMPRODUCT('US MDM-5000'!AB89,COMPLEX($C$45,0))</f>
        <v>-18.0166666666667-31.2057820496992i</v>
      </c>
      <c r="AB44" s="110" t="str">
        <f>IMPRODUCT('US MDM-5000'!AC89,COMPLEX($C$45,0))</f>
        <v>-18.0166666666667+31.2057820496992i</v>
      </c>
    </row>
    <row r="45" spans="1:41" ht="18" customHeight="1" x14ac:dyDescent="0.25">
      <c r="A45" s="71"/>
      <c r="B45" s="83" t="s">
        <v>266</v>
      </c>
      <c r="C45" s="140">
        <v>1</v>
      </c>
      <c r="D45" s="145">
        <f>'US MDM-5000'!D87</f>
        <v>2760</v>
      </c>
      <c r="E45" s="123" t="s">
        <v>267</v>
      </c>
      <c r="F45" s="145">
        <f>'US MDM-5000'!E87</f>
        <v>2760.0000000000018</v>
      </c>
      <c r="G45" s="123" t="s">
        <v>267</v>
      </c>
      <c r="H45" s="145">
        <f>'US MDM-5000'!F87</f>
        <v>2760.0000000000018</v>
      </c>
      <c r="I45" s="123" t="s">
        <v>267</v>
      </c>
      <c r="J45" s="145">
        <f>'US MDM-5000'!G87</f>
        <v>2300.0000000000041</v>
      </c>
      <c r="K45" s="123" t="s">
        <v>267</v>
      </c>
      <c r="L45" s="145">
        <f>'US MDM-5000'!H87</f>
        <v>2299.9999999999955</v>
      </c>
      <c r="M45" s="123" t="s">
        <v>267</v>
      </c>
      <c r="N45" s="145">
        <f>'US MDM-5000'!I87</f>
        <v>2299.9999999999955</v>
      </c>
      <c r="O45" s="123" t="s">
        <v>267</v>
      </c>
      <c r="P45" s="71"/>
      <c r="Q45" s="110"/>
      <c r="R45" s="110"/>
      <c r="S45" s="110"/>
      <c r="T45" s="110"/>
      <c r="U45" s="110"/>
      <c r="V45" s="110"/>
      <c r="AC45" s="110">
        <f>D45*$C$45</f>
        <v>2760</v>
      </c>
      <c r="AD45" s="110">
        <f>F45*$C$45</f>
        <v>2760.0000000000018</v>
      </c>
      <c r="AE45" s="110">
        <f>H45*$C$45</f>
        <v>2760.0000000000018</v>
      </c>
      <c r="AF45" s="110">
        <f>J45*$C$45</f>
        <v>2300.0000000000041</v>
      </c>
      <c r="AG45" s="110">
        <f>L45*$C$45</f>
        <v>2299.9999999999955</v>
      </c>
      <c r="AH45" s="110">
        <f>N45*$C$45</f>
        <v>2299.9999999999955</v>
      </c>
    </row>
    <row r="46" spans="1:41" x14ac:dyDescent="0.2">
      <c r="A46" s="71"/>
      <c r="B46" s="71"/>
      <c r="C46" s="71"/>
      <c r="D46" s="71"/>
      <c r="E46" s="71"/>
      <c r="F46" s="71"/>
      <c r="G46" s="71"/>
      <c r="H46" s="71"/>
      <c r="I46" s="71"/>
      <c r="J46" s="71"/>
      <c r="K46" s="71"/>
      <c r="L46" s="71"/>
      <c r="M46" s="71"/>
      <c r="N46" s="71"/>
      <c r="O46" s="71"/>
      <c r="P46" s="71"/>
      <c r="Q46" s="110"/>
      <c r="R46" s="110"/>
      <c r="S46" s="110"/>
      <c r="T46" s="110"/>
      <c r="U46" s="110"/>
      <c r="V46" s="110"/>
    </row>
    <row r="47" spans="1:41" ht="18" customHeight="1" x14ac:dyDescent="0.25">
      <c r="A47" s="71"/>
      <c r="B47" s="81" t="s">
        <v>162</v>
      </c>
      <c r="C47" s="593">
        <v>4</v>
      </c>
      <c r="D47" s="510" t="s">
        <v>258</v>
      </c>
      <c r="E47" s="511"/>
      <c r="F47" s="510" t="s">
        <v>259</v>
      </c>
      <c r="G47" s="511"/>
      <c r="H47" s="510" t="s">
        <v>260</v>
      </c>
      <c r="I47" s="511"/>
      <c r="J47" s="510" t="s">
        <v>261</v>
      </c>
      <c r="K47" s="511"/>
      <c r="L47" s="510" t="s">
        <v>262</v>
      </c>
      <c r="M47" s="511"/>
      <c r="N47" s="510" t="s">
        <v>263</v>
      </c>
      <c r="O47" s="511"/>
      <c r="P47" s="71"/>
      <c r="Q47" s="110"/>
      <c r="R47" s="110"/>
      <c r="S47" s="110"/>
      <c r="T47" s="110"/>
      <c r="U47" s="110"/>
      <c r="V47" s="110"/>
      <c r="AI47" s="109">
        <f>IF($C$50&gt;0,AM47,0)</f>
        <v>0</v>
      </c>
      <c r="AJ47" s="109">
        <f>IF($C$50&gt;0,AN47,0)</f>
        <v>0</v>
      </c>
      <c r="AK47" s="109">
        <f>IF($C$50&gt;0,AO47,0)</f>
        <v>0</v>
      </c>
      <c r="AM47" s="109">
        <f>'US MDM-5000'!S134</f>
        <v>0</v>
      </c>
      <c r="AN47" s="109">
        <f>'US MDM-5000'!T134</f>
        <v>0</v>
      </c>
      <c r="AO47" s="109">
        <f>'US MDM-5000'!U134</f>
        <v>0</v>
      </c>
    </row>
    <row r="48" spans="1:41" ht="18" customHeight="1" x14ac:dyDescent="0.25">
      <c r="A48" s="71"/>
      <c r="B48" s="82" t="s">
        <v>109</v>
      </c>
      <c r="C48" s="593"/>
      <c r="D48" s="143">
        <f>'US MDM-5000'!D125</f>
        <v>23</v>
      </c>
      <c r="E48" s="79" t="s">
        <v>116</v>
      </c>
      <c r="F48" s="143">
        <f>'US MDM-5000'!E125</f>
        <v>23.000000000000014</v>
      </c>
      <c r="G48" s="79" t="s">
        <v>116</v>
      </c>
      <c r="H48" s="143">
        <f>'US MDM-5000'!F125</f>
        <v>23.000000000000014</v>
      </c>
      <c r="I48" s="79" t="s">
        <v>116</v>
      </c>
      <c r="J48" s="143">
        <f>'US MDM-5000'!G125</f>
        <v>19.1666666666667</v>
      </c>
      <c r="K48" s="79" t="s">
        <v>116</v>
      </c>
      <c r="L48" s="143">
        <f>'US MDM-5000'!H125</f>
        <v>19.166666666666629</v>
      </c>
      <c r="M48" s="79" t="s">
        <v>116</v>
      </c>
      <c r="N48" s="143">
        <f>'US MDM-5000'!I125</f>
        <v>19.166666666666629</v>
      </c>
      <c r="O48" s="79" t="s">
        <v>116</v>
      </c>
      <c r="P48" s="71"/>
      <c r="Q48" s="110">
        <f>D48*$C$50</f>
        <v>23</v>
      </c>
      <c r="R48" s="110">
        <f>F48*$C$50</f>
        <v>23.000000000000014</v>
      </c>
      <c r="S48" s="110">
        <f>H48*$C$50</f>
        <v>23.000000000000014</v>
      </c>
      <c r="T48" s="110">
        <f>J48*$C$50</f>
        <v>19.1666666666667</v>
      </c>
      <c r="U48" s="110">
        <f>L48*$C$50</f>
        <v>19.166666666666629</v>
      </c>
      <c r="V48" s="110">
        <f>N48*$C$50</f>
        <v>19.166666666666629</v>
      </c>
    </row>
    <row r="49" spans="1:46" ht="18" customHeight="1" x14ac:dyDescent="0.25">
      <c r="A49" s="71"/>
      <c r="B49" s="82" t="s">
        <v>264</v>
      </c>
      <c r="C49" s="125" t="s">
        <v>120</v>
      </c>
      <c r="D49" s="144">
        <f>'US MDM-5000'!D126</f>
        <v>4231.9999999999918</v>
      </c>
      <c r="E49" s="122" t="s">
        <v>265</v>
      </c>
      <c r="F49" s="144">
        <f>'US MDM-5000'!E126</f>
        <v>4231.9999999999973</v>
      </c>
      <c r="G49" s="122" t="s">
        <v>265</v>
      </c>
      <c r="H49" s="144">
        <f>'US MDM-5000'!F126</f>
        <v>4231.9999999999973</v>
      </c>
      <c r="I49" s="122" t="s">
        <v>265</v>
      </c>
      <c r="J49" s="144">
        <f>'US MDM-5000'!G126</f>
        <v>4324.0000000000082</v>
      </c>
      <c r="K49" s="122" t="s">
        <v>265</v>
      </c>
      <c r="L49" s="144">
        <f>'US MDM-5000'!H126</f>
        <v>4323.9999999999945</v>
      </c>
      <c r="M49" s="122" t="s">
        <v>265</v>
      </c>
      <c r="N49" s="144">
        <f>'US MDM-5000'!I126</f>
        <v>4323.9999999999945</v>
      </c>
      <c r="O49" s="122" t="s">
        <v>265</v>
      </c>
      <c r="P49" s="71"/>
      <c r="Q49" s="110"/>
      <c r="R49" s="110"/>
      <c r="S49" s="110"/>
      <c r="T49" s="110"/>
      <c r="U49" s="110"/>
      <c r="V49" s="110"/>
      <c r="W49" s="110" t="str">
        <f>IMPRODUCT('US MDM-5000'!W129,COMPLEX($C$50,0))</f>
        <v>35.2666666666666</v>
      </c>
      <c r="X49" s="110" t="str">
        <f>IMPRODUCT('US MDM-5000'!X129,COMPLEX($C$50,0))</f>
        <v>-17.6333333333333-30.5418292401312i</v>
      </c>
      <c r="Y49" s="110" t="str">
        <f>IMPRODUCT('US MDM-5000'!Y129,COMPLEX($C$50,0))</f>
        <v>-17.6333333333333+30.5418292401312i</v>
      </c>
      <c r="Z49" s="110" t="str">
        <f>IMPRODUCT('US MDM-5000'!AA129,COMPLEX($C$50,0))</f>
        <v>36.0333333333334</v>
      </c>
      <c r="AA49" s="110" t="str">
        <f>IMPRODUCT('US MDM-5000'!AB129,COMPLEX($C$50,0))</f>
        <v>-18.0166666666667-31.2057820496992i</v>
      </c>
      <c r="AB49" s="110" t="str">
        <f>IMPRODUCT('US MDM-5000'!AC129,COMPLEX($C$50,0))</f>
        <v>-18.0166666666667+31.2057820496992i</v>
      </c>
    </row>
    <row r="50" spans="1:46" ht="18" customHeight="1" x14ac:dyDescent="0.25">
      <c r="A50" s="71"/>
      <c r="B50" s="83" t="s">
        <v>266</v>
      </c>
      <c r="C50" s="140">
        <v>1</v>
      </c>
      <c r="D50" s="145">
        <f>'US MDM-5000'!D127</f>
        <v>2760</v>
      </c>
      <c r="E50" s="123" t="s">
        <v>267</v>
      </c>
      <c r="F50" s="145">
        <f>'US MDM-5000'!E127</f>
        <v>2760.0000000000018</v>
      </c>
      <c r="G50" s="123" t="s">
        <v>267</v>
      </c>
      <c r="H50" s="145">
        <f>'US MDM-5000'!F127</f>
        <v>2760.0000000000018</v>
      </c>
      <c r="I50" s="123" t="s">
        <v>267</v>
      </c>
      <c r="J50" s="145">
        <f>'US MDM-5000'!G127</f>
        <v>2300.0000000000041</v>
      </c>
      <c r="K50" s="123" t="s">
        <v>267</v>
      </c>
      <c r="L50" s="145">
        <f>'US MDM-5000'!H127</f>
        <v>2299.9999999999955</v>
      </c>
      <c r="M50" s="123" t="s">
        <v>267</v>
      </c>
      <c r="N50" s="145">
        <f>'US MDM-5000'!I127</f>
        <v>2299.9999999999955</v>
      </c>
      <c r="O50" s="123" t="s">
        <v>267</v>
      </c>
      <c r="P50" s="71"/>
      <c r="Q50" s="110"/>
      <c r="R50" s="110"/>
      <c r="S50" s="110"/>
      <c r="T50" s="110"/>
      <c r="U50" s="110"/>
      <c r="V50" s="110"/>
      <c r="AC50" s="110">
        <f>D50*$C$50</f>
        <v>2760</v>
      </c>
      <c r="AD50" s="110">
        <f>F50*$C$50</f>
        <v>2760.0000000000018</v>
      </c>
      <c r="AE50" s="110">
        <f>H50*$C$50</f>
        <v>2760.0000000000018</v>
      </c>
      <c r="AF50" s="110">
        <f>J50*$C$50</f>
        <v>2300.0000000000041</v>
      </c>
      <c r="AG50" s="110">
        <f>L50*$C$50</f>
        <v>2299.9999999999955</v>
      </c>
      <c r="AH50" s="110">
        <f>N50*$C$50</f>
        <v>2299.9999999999955</v>
      </c>
    </row>
    <row r="51" spans="1:46" x14ac:dyDescent="0.2">
      <c r="A51" s="71"/>
      <c r="B51" s="71"/>
      <c r="C51" s="71"/>
      <c r="D51" s="71"/>
      <c r="E51" s="71"/>
      <c r="F51" s="71"/>
      <c r="G51" s="71"/>
      <c r="H51" s="71"/>
      <c r="I51" s="71"/>
      <c r="J51" s="71"/>
      <c r="K51" s="71"/>
      <c r="L51" s="71"/>
      <c r="M51" s="71"/>
      <c r="N51" s="71"/>
      <c r="O51" s="71"/>
      <c r="P51" s="71"/>
      <c r="Q51" s="110"/>
      <c r="R51" s="110"/>
      <c r="S51" s="110"/>
      <c r="T51" s="110"/>
      <c r="U51" s="110"/>
      <c r="V51" s="110"/>
    </row>
    <row r="52" spans="1:46" ht="18" customHeight="1" x14ac:dyDescent="0.25">
      <c r="A52" s="71"/>
      <c r="B52" s="81" t="s">
        <v>162</v>
      </c>
      <c r="C52" s="593">
        <v>5</v>
      </c>
      <c r="D52" s="510" t="s">
        <v>258</v>
      </c>
      <c r="E52" s="511"/>
      <c r="F52" s="510" t="s">
        <v>259</v>
      </c>
      <c r="G52" s="511"/>
      <c r="H52" s="510" t="s">
        <v>260</v>
      </c>
      <c r="I52" s="511"/>
      <c r="J52" s="510" t="s">
        <v>261</v>
      </c>
      <c r="K52" s="511"/>
      <c r="L52" s="510" t="s">
        <v>262</v>
      </c>
      <c r="M52" s="511"/>
      <c r="N52" s="510" t="s">
        <v>263</v>
      </c>
      <c r="O52" s="511"/>
      <c r="P52" s="71"/>
      <c r="Q52" s="110"/>
      <c r="R52" s="110"/>
      <c r="S52" s="110"/>
      <c r="T52" s="110"/>
      <c r="U52" s="110"/>
      <c r="V52" s="110"/>
      <c r="AI52" s="109">
        <f>IF($C$55&gt;0,AM52,0)</f>
        <v>0</v>
      </c>
      <c r="AJ52" s="109">
        <f>IF($C$55&gt;0,AN52,0)</f>
        <v>0</v>
      </c>
      <c r="AK52" s="109">
        <f>IF($C$55&gt;0,AO52,0)</f>
        <v>0</v>
      </c>
      <c r="AM52" s="109">
        <f>'US MDM-5000'!S174</f>
        <v>0</v>
      </c>
      <c r="AN52" s="109">
        <f>'US MDM-5000'!T174</f>
        <v>0</v>
      </c>
      <c r="AO52" s="109">
        <f>'US MDM-5000'!U174</f>
        <v>0</v>
      </c>
    </row>
    <row r="53" spans="1:46" ht="18" customHeight="1" x14ac:dyDescent="0.25">
      <c r="A53" s="71"/>
      <c r="B53" s="82" t="s">
        <v>109</v>
      </c>
      <c r="C53" s="593"/>
      <c r="D53" s="143">
        <f>'US MDM-5000'!D165</f>
        <v>23</v>
      </c>
      <c r="E53" s="79" t="s">
        <v>116</v>
      </c>
      <c r="F53" s="143">
        <f>'US MDM-5000'!E165</f>
        <v>23.000000000000014</v>
      </c>
      <c r="G53" s="79" t="s">
        <v>116</v>
      </c>
      <c r="H53" s="143">
        <f>'US MDM-5000'!F165</f>
        <v>23.000000000000014</v>
      </c>
      <c r="I53" s="79" t="s">
        <v>116</v>
      </c>
      <c r="J53" s="143">
        <f>'US MDM-5000'!G165</f>
        <v>19.1666666666667</v>
      </c>
      <c r="K53" s="79" t="s">
        <v>116</v>
      </c>
      <c r="L53" s="143">
        <f>'US MDM-5000'!H165</f>
        <v>19.166666666666629</v>
      </c>
      <c r="M53" s="79" t="s">
        <v>116</v>
      </c>
      <c r="N53" s="143">
        <f>'US MDM-5000'!I165</f>
        <v>19.166666666666629</v>
      </c>
      <c r="O53" s="79" t="s">
        <v>116</v>
      </c>
      <c r="P53" s="71"/>
      <c r="Q53" s="110">
        <f>D53*$C$55</f>
        <v>23</v>
      </c>
      <c r="R53" s="110">
        <f>F53*$C$55</f>
        <v>23.000000000000014</v>
      </c>
      <c r="S53" s="110">
        <f>H53*$C$55</f>
        <v>23.000000000000014</v>
      </c>
      <c r="T53" s="110">
        <f>J53*$C$55</f>
        <v>19.1666666666667</v>
      </c>
      <c r="U53" s="110">
        <f>L53*$C$55</f>
        <v>19.166666666666629</v>
      </c>
      <c r="V53" s="110">
        <f>N53*$C$55</f>
        <v>19.166666666666629</v>
      </c>
    </row>
    <row r="54" spans="1:46" ht="18" customHeight="1" x14ac:dyDescent="0.25">
      <c r="A54" s="71"/>
      <c r="B54" s="82" t="s">
        <v>264</v>
      </c>
      <c r="C54" s="125" t="s">
        <v>120</v>
      </c>
      <c r="D54" s="144">
        <f>'US MDM-5000'!D166</f>
        <v>4231.9999999999918</v>
      </c>
      <c r="E54" s="122" t="s">
        <v>265</v>
      </c>
      <c r="F54" s="144">
        <f>'US MDM-5000'!E166</f>
        <v>4231.9999999999973</v>
      </c>
      <c r="G54" s="122" t="s">
        <v>265</v>
      </c>
      <c r="H54" s="144">
        <f>'US MDM-5000'!F166</f>
        <v>4231.9999999999973</v>
      </c>
      <c r="I54" s="122" t="s">
        <v>265</v>
      </c>
      <c r="J54" s="144">
        <f>'US MDM-5000'!G166</f>
        <v>4324.0000000000082</v>
      </c>
      <c r="K54" s="122" t="s">
        <v>265</v>
      </c>
      <c r="L54" s="144">
        <f>'US MDM-5000'!H166</f>
        <v>4323.9999999999945</v>
      </c>
      <c r="M54" s="122" t="s">
        <v>265</v>
      </c>
      <c r="N54" s="144">
        <f>'US MDM-5000'!I166</f>
        <v>4323.9999999999945</v>
      </c>
      <c r="O54" s="122" t="s">
        <v>265</v>
      </c>
      <c r="P54" s="71"/>
      <c r="Q54" s="110"/>
      <c r="R54" s="110"/>
      <c r="S54" s="110"/>
      <c r="T54" s="110"/>
      <c r="U54" s="110"/>
      <c r="V54" s="110"/>
      <c r="W54" s="110" t="str">
        <f>IMPRODUCT('US MDM-5000'!W169,COMPLEX($C$55,0))</f>
        <v>35.2666666666666</v>
      </c>
      <c r="X54" s="110" t="str">
        <f>IMPRODUCT('US MDM-5000'!X169,COMPLEX($C$55,0))</f>
        <v>-17.6333333333333-30.5418292401312i</v>
      </c>
      <c r="Y54" s="110" t="str">
        <f>IMPRODUCT('US MDM-5000'!Y169,COMPLEX($C$55,0))</f>
        <v>-17.6333333333333+30.5418292401312i</v>
      </c>
      <c r="Z54" s="110" t="str">
        <f>IMPRODUCT('US MDM-5000'!AA169,COMPLEX($C$55,0))</f>
        <v>36.0333333333334</v>
      </c>
      <c r="AA54" s="110" t="str">
        <f>IMPRODUCT('US MDM-5000'!AB169,COMPLEX($C$55,0))</f>
        <v>-18.0166666666667-31.2057820496992i</v>
      </c>
      <c r="AB54" s="110" t="str">
        <f>IMPRODUCT('US MDM-5000'!AC169,COMPLEX($C$55,0))</f>
        <v>-18.0166666666667+31.2057820496992i</v>
      </c>
    </row>
    <row r="55" spans="1:46" ht="18" customHeight="1" x14ac:dyDescent="0.25">
      <c r="A55" s="71"/>
      <c r="B55" s="83" t="s">
        <v>266</v>
      </c>
      <c r="C55" s="140">
        <v>1</v>
      </c>
      <c r="D55" s="145">
        <f>'US MDM-5000'!D167</f>
        <v>2760</v>
      </c>
      <c r="E55" s="123" t="s">
        <v>267</v>
      </c>
      <c r="F55" s="145">
        <f>'US MDM-5000'!E167</f>
        <v>2760.0000000000018</v>
      </c>
      <c r="G55" s="123" t="s">
        <v>267</v>
      </c>
      <c r="H55" s="145">
        <f>'US MDM-5000'!F167</f>
        <v>2760.0000000000018</v>
      </c>
      <c r="I55" s="123" t="s">
        <v>267</v>
      </c>
      <c r="J55" s="145">
        <f>'US MDM-5000'!G167</f>
        <v>2300.0000000000041</v>
      </c>
      <c r="K55" s="123" t="s">
        <v>267</v>
      </c>
      <c r="L55" s="145">
        <f>'US MDM-5000'!H167</f>
        <v>2299.9999999999955</v>
      </c>
      <c r="M55" s="123" t="s">
        <v>267</v>
      </c>
      <c r="N55" s="145">
        <f>'US MDM-5000'!I167</f>
        <v>2299.9999999999955</v>
      </c>
      <c r="O55" s="123" t="s">
        <v>267</v>
      </c>
      <c r="P55" s="71"/>
      <c r="Q55" s="110"/>
      <c r="R55" s="110"/>
      <c r="S55" s="110"/>
      <c r="T55" s="110"/>
      <c r="U55" s="110"/>
      <c r="V55" s="110"/>
      <c r="AC55" s="110">
        <f>D55*$C$55</f>
        <v>2760</v>
      </c>
      <c r="AD55" s="110">
        <f>F55*$C$55</f>
        <v>2760.0000000000018</v>
      </c>
      <c r="AE55" s="110">
        <f>H55*$C$55</f>
        <v>2760.0000000000018</v>
      </c>
      <c r="AF55" s="110">
        <f>J55*$C$55</f>
        <v>2300.0000000000041</v>
      </c>
      <c r="AG55" s="110">
        <f>L55*$C$55</f>
        <v>2299.9999999999955</v>
      </c>
      <c r="AH55" s="110">
        <f>N55*$C$55</f>
        <v>2299.9999999999955</v>
      </c>
    </row>
    <row r="56" spans="1:46" x14ac:dyDescent="0.2">
      <c r="A56" s="71"/>
      <c r="B56" s="71"/>
      <c r="C56" s="71"/>
      <c r="D56" s="71"/>
      <c r="E56" s="71"/>
      <c r="F56" s="71"/>
      <c r="G56" s="71"/>
      <c r="H56" s="71"/>
      <c r="I56" s="71"/>
      <c r="J56" s="71"/>
      <c r="K56" s="71"/>
      <c r="L56" s="71"/>
      <c r="M56" s="71"/>
      <c r="N56" s="71"/>
      <c r="O56" s="71"/>
      <c r="P56" s="71"/>
      <c r="Q56" s="110"/>
      <c r="R56" s="110"/>
      <c r="S56" s="110"/>
      <c r="T56" s="110"/>
      <c r="U56" s="110"/>
      <c r="V56" s="110"/>
    </row>
    <row r="57" spans="1:46" ht="18" customHeight="1" x14ac:dyDescent="0.25">
      <c r="A57" s="71"/>
      <c r="B57" s="81" t="s">
        <v>162</v>
      </c>
      <c r="C57" s="593">
        <v>6</v>
      </c>
      <c r="D57" s="510" t="s">
        <v>258</v>
      </c>
      <c r="E57" s="511"/>
      <c r="F57" s="510" t="s">
        <v>259</v>
      </c>
      <c r="G57" s="511"/>
      <c r="H57" s="510" t="s">
        <v>260</v>
      </c>
      <c r="I57" s="511"/>
      <c r="J57" s="510" t="s">
        <v>261</v>
      </c>
      <c r="K57" s="511"/>
      <c r="L57" s="510" t="s">
        <v>262</v>
      </c>
      <c r="M57" s="511"/>
      <c r="N57" s="510" t="s">
        <v>263</v>
      </c>
      <c r="O57" s="511"/>
      <c r="P57" s="71"/>
      <c r="Q57" s="110"/>
      <c r="R57" s="110"/>
      <c r="S57" s="110"/>
      <c r="T57" s="110"/>
      <c r="U57" s="110"/>
      <c r="V57" s="110"/>
      <c r="AI57" s="109">
        <f>IF($C$60&gt;0,AM57,0)</f>
        <v>0</v>
      </c>
      <c r="AJ57" s="109">
        <f>IF($C$60&gt;0,AN57,0)</f>
        <v>0</v>
      </c>
      <c r="AK57" s="109">
        <f>IF($C$60&gt;0,AO57,0)</f>
        <v>0</v>
      </c>
      <c r="AM57" s="109">
        <f>'US MDM-5000'!S214</f>
        <v>0</v>
      </c>
      <c r="AN57" s="109">
        <f>'US MDM-5000'!T214</f>
        <v>0</v>
      </c>
      <c r="AO57" s="109">
        <f>'US MDM-5000'!U214</f>
        <v>0</v>
      </c>
    </row>
    <row r="58" spans="1:46" ht="18" customHeight="1" x14ac:dyDescent="0.25">
      <c r="A58" s="71"/>
      <c r="B58" s="82" t="s">
        <v>109</v>
      </c>
      <c r="C58" s="593"/>
      <c r="D58" s="143">
        <f>'US MDM-5000'!D205</f>
        <v>23</v>
      </c>
      <c r="E58" s="79" t="s">
        <v>116</v>
      </c>
      <c r="F58" s="143">
        <f>'US MDM-5000'!E205</f>
        <v>23.000000000000014</v>
      </c>
      <c r="G58" s="79" t="s">
        <v>116</v>
      </c>
      <c r="H58" s="143">
        <f>'US MDM-5000'!F205</f>
        <v>23.000000000000014</v>
      </c>
      <c r="I58" s="79" t="s">
        <v>116</v>
      </c>
      <c r="J58" s="143">
        <f>'US MDM-5000'!G205</f>
        <v>19.1666666666667</v>
      </c>
      <c r="K58" s="79" t="s">
        <v>116</v>
      </c>
      <c r="L58" s="143">
        <f>'US MDM-5000'!H205</f>
        <v>19.166666666666629</v>
      </c>
      <c r="M58" s="79" t="s">
        <v>116</v>
      </c>
      <c r="N58" s="143">
        <f>'US MDM-5000'!I205</f>
        <v>19.166666666666629</v>
      </c>
      <c r="O58" s="79" t="s">
        <v>116</v>
      </c>
      <c r="P58" s="71"/>
      <c r="Q58" s="110">
        <f>D58*$C$60</f>
        <v>23</v>
      </c>
      <c r="R58" s="110">
        <f>F58*$C$60</f>
        <v>23.000000000000014</v>
      </c>
      <c r="S58" s="110">
        <f>H58*$C$60</f>
        <v>23.000000000000014</v>
      </c>
      <c r="T58" s="110">
        <f>J58*$C$60</f>
        <v>19.1666666666667</v>
      </c>
      <c r="U58" s="110">
        <f>L58*$C$60</f>
        <v>19.166666666666629</v>
      </c>
      <c r="V58" s="110">
        <f>N58*$C$60</f>
        <v>19.166666666666629</v>
      </c>
    </row>
    <row r="59" spans="1:46" ht="18" customHeight="1" x14ac:dyDescent="0.25">
      <c r="A59" s="71"/>
      <c r="B59" s="82" t="s">
        <v>264</v>
      </c>
      <c r="C59" s="125" t="s">
        <v>120</v>
      </c>
      <c r="D59" s="144">
        <f>'US MDM-5000'!D206</f>
        <v>4231.9999999999918</v>
      </c>
      <c r="E59" s="122" t="s">
        <v>265</v>
      </c>
      <c r="F59" s="144">
        <f>'US MDM-5000'!E206</f>
        <v>4231.9999999999973</v>
      </c>
      <c r="G59" s="122" t="s">
        <v>265</v>
      </c>
      <c r="H59" s="144">
        <f>'US MDM-5000'!F206</f>
        <v>4231.9999999999973</v>
      </c>
      <c r="I59" s="122" t="s">
        <v>265</v>
      </c>
      <c r="J59" s="144">
        <f>'US MDM-5000'!G206</f>
        <v>4324.0000000000082</v>
      </c>
      <c r="K59" s="122" t="s">
        <v>265</v>
      </c>
      <c r="L59" s="144">
        <f>'US MDM-5000'!H206</f>
        <v>4323.9999999999945</v>
      </c>
      <c r="M59" s="122" t="s">
        <v>265</v>
      </c>
      <c r="N59" s="144">
        <f>'US MDM-5000'!I206</f>
        <v>4323.9999999999945</v>
      </c>
      <c r="O59" s="122" t="s">
        <v>265</v>
      </c>
      <c r="P59" s="71"/>
      <c r="Q59" s="110"/>
      <c r="R59" s="110"/>
      <c r="S59" s="110"/>
      <c r="T59" s="110"/>
      <c r="U59" s="110"/>
      <c r="V59" s="110"/>
      <c r="W59" s="110" t="str">
        <f>IMPRODUCT('US MDM-5000'!W209,COMPLEX($C$60,0))</f>
        <v>35.2666666666666</v>
      </c>
      <c r="X59" s="110" t="str">
        <f>IMPRODUCT('US MDM-5000'!X209,COMPLEX($C$60,0))</f>
        <v>-17.6333333333333-30.5418292401312i</v>
      </c>
      <c r="Y59" s="110" t="str">
        <f>IMPRODUCT('US MDM-5000'!Y209,COMPLEX($C$60,0))</f>
        <v>-17.6333333333333+30.5418292401312i</v>
      </c>
      <c r="Z59" s="110" t="str">
        <f>IMPRODUCT('US MDM-5000'!AA209,COMPLEX($C$60,0))</f>
        <v>36.0333333333334</v>
      </c>
      <c r="AA59" s="110" t="str">
        <f>IMPRODUCT('US MDM-5000'!AB209,COMPLEX($C$60,0))</f>
        <v>-18.0166666666667-31.2057820496992i</v>
      </c>
      <c r="AB59" s="110" t="str">
        <f>IMPRODUCT('US MDM-5000'!AC209,COMPLEX($C$60,0))</f>
        <v>-18.0166666666667+31.2057820496992i</v>
      </c>
    </row>
    <row r="60" spans="1:46" ht="18" customHeight="1" x14ac:dyDescent="0.25">
      <c r="A60" s="71"/>
      <c r="B60" s="83" t="s">
        <v>266</v>
      </c>
      <c r="C60" s="140">
        <v>1</v>
      </c>
      <c r="D60" s="145">
        <f>'US MDM-5000'!D207</f>
        <v>2760</v>
      </c>
      <c r="E60" s="123" t="s">
        <v>267</v>
      </c>
      <c r="F60" s="145">
        <f>'US MDM-5000'!E207</f>
        <v>2760.0000000000018</v>
      </c>
      <c r="G60" s="123" t="s">
        <v>267</v>
      </c>
      <c r="H60" s="145">
        <f>'US MDM-5000'!F207</f>
        <v>2760.0000000000018</v>
      </c>
      <c r="I60" s="123" t="s">
        <v>267</v>
      </c>
      <c r="J60" s="145">
        <f>'US MDM-5000'!G207</f>
        <v>2300.0000000000041</v>
      </c>
      <c r="K60" s="123" t="s">
        <v>267</v>
      </c>
      <c r="L60" s="145">
        <f>'US MDM-5000'!H207</f>
        <v>2299.9999999999955</v>
      </c>
      <c r="M60" s="123" t="s">
        <v>267</v>
      </c>
      <c r="N60" s="145">
        <f>'US MDM-5000'!I207</f>
        <v>2299.9999999999955</v>
      </c>
      <c r="O60" s="123" t="s">
        <v>267</v>
      </c>
      <c r="P60" s="71"/>
      <c r="Q60" s="110"/>
      <c r="AC60" s="110">
        <f>D60*$C$60</f>
        <v>2760</v>
      </c>
      <c r="AD60" s="110">
        <f>F60*$C$60</f>
        <v>2760.0000000000018</v>
      </c>
      <c r="AE60" s="110">
        <f>H60*$C$60</f>
        <v>2760.0000000000018</v>
      </c>
      <c r="AF60" s="110">
        <f>J60*$C$60</f>
        <v>2300.0000000000041</v>
      </c>
      <c r="AG60" s="110">
        <f>L60*$C$60</f>
        <v>2299.9999999999955</v>
      </c>
      <c r="AH60" s="110">
        <f>N60*$C$60</f>
        <v>2299.9999999999955</v>
      </c>
    </row>
    <row r="61" spans="1:46" ht="18" customHeight="1" x14ac:dyDescent="0.25">
      <c r="A61" s="71"/>
      <c r="B61" s="76" t="str">
        <f>Data!$T$1</f>
        <v>Meyer Sound Laboratories, Inc. Berkeley, California, USA                                 www.meyersound.com</v>
      </c>
      <c r="C61" s="158"/>
      <c r="D61" s="158"/>
      <c r="E61" s="159"/>
      <c r="F61" s="158"/>
      <c r="G61" s="159"/>
      <c r="H61" s="158"/>
      <c r="I61" s="159"/>
      <c r="J61" s="158"/>
      <c r="K61" s="159"/>
      <c r="L61" s="158"/>
      <c r="M61" s="159"/>
      <c r="N61" s="158"/>
      <c r="O61" s="166" t="str">
        <f>Data!$M$1</f>
        <v>06.257.005.01 C</v>
      </c>
      <c r="P61" s="71"/>
      <c r="Q61" s="110"/>
      <c r="AC61" s="110"/>
      <c r="AD61" s="110"/>
      <c r="AE61" s="110"/>
      <c r="AF61" s="110"/>
      <c r="AG61" s="110"/>
      <c r="AH61" s="110"/>
    </row>
    <row r="62" spans="1:46" hidden="1" x14ac:dyDescent="0.2">
      <c r="A62" s="71"/>
      <c r="B62" s="71"/>
      <c r="C62" s="71"/>
      <c r="D62" s="71"/>
      <c r="E62" s="71"/>
      <c r="F62" s="71"/>
      <c r="G62" s="71"/>
      <c r="H62" s="71"/>
      <c r="I62" s="71"/>
      <c r="J62" s="71"/>
      <c r="K62" s="71"/>
      <c r="L62" s="71"/>
      <c r="M62" s="71"/>
      <c r="N62" s="71"/>
      <c r="O62" s="71"/>
      <c r="P62" s="71"/>
      <c r="Q62" s="110"/>
    </row>
    <row r="63" spans="1:46" s="147" customFormat="1" ht="21" hidden="1" x14ac:dyDescent="0.25">
      <c r="A63" s="71"/>
      <c r="B63" s="151" t="s">
        <v>178</v>
      </c>
      <c r="C63" s="152"/>
      <c r="D63" s="585" t="s">
        <v>270</v>
      </c>
      <c r="E63" s="586"/>
      <c r="F63" s="586" t="s">
        <v>270</v>
      </c>
      <c r="G63" s="587"/>
      <c r="H63" s="588" t="s">
        <v>270</v>
      </c>
      <c r="I63" s="589"/>
      <c r="J63" s="584"/>
      <c r="K63" s="584"/>
      <c r="L63" s="590" t="s">
        <v>271</v>
      </c>
      <c r="M63" s="590"/>
      <c r="N63" s="584"/>
      <c r="O63" s="584"/>
      <c r="Q63" s="127"/>
      <c r="R63" s="127"/>
      <c r="S63" s="127"/>
      <c r="T63" s="127"/>
      <c r="U63" s="127"/>
      <c r="V63" s="127"/>
      <c r="W63" s="127"/>
      <c r="X63" s="127"/>
      <c r="Y63" s="127"/>
      <c r="Z63" s="127"/>
      <c r="AA63" s="127"/>
      <c r="AB63" s="127"/>
      <c r="AC63" s="127"/>
      <c r="AD63" s="127"/>
      <c r="AE63" s="127"/>
      <c r="AF63" s="127"/>
      <c r="AG63" s="127"/>
      <c r="AH63" s="127"/>
      <c r="AI63" s="127"/>
      <c r="AJ63" s="127"/>
      <c r="AK63" s="127"/>
      <c r="AL63" s="127"/>
      <c r="AM63" s="127"/>
      <c r="AN63" s="127"/>
      <c r="AO63" s="127"/>
      <c r="AP63" s="127"/>
      <c r="AQ63" s="127"/>
      <c r="AR63" s="127"/>
      <c r="AS63" s="127"/>
      <c r="AT63" s="127"/>
    </row>
    <row r="64" spans="1:46" ht="19" hidden="1" x14ac:dyDescent="0.25">
      <c r="A64" s="71"/>
      <c r="B64" s="81" t="s">
        <v>162</v>
      </c>
      <c r="C64" s="619">
        <v>1</v>
      </c>
      <c r="D64" s="620" t="s">
        <v>252</v>
      </c>
      <c r="E64" s="621"/>
      <c r="F64" s="620" t="s">
        <v>253</v>
      </c>
      <c r="G64" s="622"/>
      <c r="H64" s="620" t="s">
        <v>254</v>
      </c>
      <c r="I64" s="621"/>
      <c r="J64" s="537"/>
      <c r="K64" s="537"/>
      <c r="L64" s="537"/>
      <c r="M64" s="537"/>
      <c r="N64" s="537"/>
      <c r="O64" s="537"/>
      <c r="P64" s="71"/>
      <c r="Q64" s="109" t="s">
        <v>180</v>
      </c>
      <c r="R64" s="109">
        <f>'US MDM-5000'!AH2</f>
        <v>0</v>
      </c>
    </row>
    <row r="65" spans="1:16" ht="19" hidden="1" x14ac:dyDescent="0.25">
      <c r="A65" s="71"/>
      <c r="B65" s="82" t="s">
        <v>109</v>
      </c>
      <c r="C65" s="619"/>
      <c r="D65" s="157"/>
      <c r="E65" s="76"/>
      <c r="F65" s="157"/>
      <c r="G65" s="76"/>
      <c r="H65" s="157"/>
      <c r="I65" s="76"/>
      <c r="J65" s="157"/>
      <c r="K65" s="76"/>
      <c r="L65" s="157"/>
      <c r="M65" s="76"/>
      <c r="N65" s="157"/>
      <c r="O65" s="76"/>
      <c r="P65" s="71"/>
    </row>
    <row r="66" spans="1:16" ht="19" hidden="1" x14ac:dyDescent="0.25">
      <c r="A66" s="71"/>
      <c r="B66" s="82" t="s">
        <v>264</v>
      </c>
      <c r="C66" s="156" t="s">
        <v>120</v>
      </c>
      <c r="D66" s="158"/>
      <c r="E66" s="159"/>
      <c r="F66" s="158"/>
      <c r="G66" s="159"/>
      <c r="H66" s="158"/>
      <c r="I66" s="159"/>
      <c r="J66" s="158"/>
      <c r="K66" s="159"/>
      <c r="L66" s="158"/>
      <c r="M66" s="159"/>
      <c r="N66" s="158"/>
      <c r="O66" s="159"/>
      <c r="P66" s="71"/>
    </row>
    <row r="67" spans="1:16" ht="18" hidden="1" customHeight="1" x14ac:dyDescent="0.25">
      <c r="A67" s="71"/>
      <c r="B67" s="83" t="s">
        <v>266</v>
      </c>
      <c r="C67" s="140">
        <v>0</v>
      </c>
      <c r="D67" s="158"/>
      <c r="E67" s="159"/>
      <c r="F67" s="158"/>
      <c r="G67" s="159"/>
      <c r="H67" s="158"/>
      <c r="I67" s="159"/>
      <c r="J67" s="158"/>
      <c r="K67" s="159"/>
      <c r="L67" s="158"/>
      <c r="M67" s="159"/>
      <c r="N67" s="158"/>
      <c r="O67" s="159"/>
      <c r="P67" s="71"/>
    </row>
    <row r="68" spans="1:16" hidden="1" x14ac:dyDescent="0.2">
      <c r="A68" s="71"/>
      <c r="B68" s="71"/>
      <c r="C68" s="71"/>
      <c r="D68" s="71"/>
      <c r="E68" s="71"/>
      <c r="F68" s="71"/>
      <c r="G68" s="71"/>
      <c r="H68" s="71"/>
      <c r="I68" s="71"/>
      <c r="J68" s="71"/>
      <c r="K68" s="71"/>
      <c r="L68" s="71"/>
      <c r="M68" s="71"/>
      <c r="N68" s="71"/>
      <c r="O68" s="71"/>
      <c r="P68" s="71"/>
    </row>
  </sheetData>
  <sheetProtection algorithmName="SHA-512" hashValue="0VP5rtuBF8LF1WBS1li2TPm6fVguWGltVPODfNa8klEveJMx9/UTRHFZ9R+YxPLa/JJwPELqDt4Aw6ColhVoQw==" saltValue="PJ0SuYaBWqYwlFgVbkOlgA==" spinCount="100000" sheet="1" objects="1" scenarios="1" selectLockedCells="1"/>
  <customSheetViews>
    <customSheetView guid="{638DA5E6-5C83-F34B-A013-9937D26CA5CB}" scale="74">
      <selection activeCell="D10" sqref="D10:E10"/>
    </customSheetView>
  </customSheetViews>
  <mergeCells count="83">
    <mergeCell ref="L64:M64"/>
    <mergeCell ref="N64:O64"/>
    <mergeCell ref="C64:C65"/>
    <mergeCell ref="D64:E64"/>
    <mergeCell ref="F64:G64"/>
    <mergeCell ref="H64:I64"/>
    <mergeCell ref="J64:K64"/>
    <mergeCell ref="J11:O11"/>
    <mergeCell ref="N32:O32"/>
    <mergeCell ref="D32:E32"/>
    <mergeCell ref="F32:G32"/>
    <mergeCell ref="H32:I32"/>
    <mergeCell ref="J32:K32"/>
    <mergeCell ref="L32:M32"/>
    <mergeCell ref="H11:I11"/>
    <mergeCell ref="B2:O2"/>
    <mergeCell ref="C4:C9"/>
    <mergeCell ref="G9:H9"/>
    <mergeCell ref="G8:H8"/>
    <mergeCell ref="G6:H6"/>
    <mergeCell ref="D8:E8"/>
    <mergeCell ref="D9:E9"/>
    <mergeCell ref="J5:L5"/>
    <mergeCell ref="J4:K4"/>
    <mergeCell ref="J6:K6"/>
    <mergeCell ref="J8:K8"/>
    <mergeCell ref="J9:K9"/>
    <mergeCell ref="G4:H4"/>
    <mergeCell ref="D4:E4"/>
    <mergeCell ref="D5:F5"/>
    <mergeCell ref="G5:I5"/>
    <mergeCell ref="H42:I42"/>
    <mergeCell ref="B14:E15"/>
    <mergeCell ref="F14:O15"/>
    <mergeCell ref="H37:I37"/>
    <mergeCell ref="J42:K42"/>
    <mergeCell ref="L42:M42"/>
    <mergeCell ref="N42:O42"/>
    <mergeCell ref="J37:K37"/>
    <mergeCell ref="L37:M37"/>
    <mergeCell ref="N37:O37"/>
    <mergeCell ref="C47:C48"/>
    <mergeCell ref="D6:E6"/>
    <mergeCell ref="D37:E37"/>
    <mergeCell ref="F37:G37"/>
    <mergeCell ref="F11:G11"/>
    <mergeCell ref="C32:C33"/>
    <mergeCell ref="C37:C38"/>
    <mergeCell ref="D42:E42"/>
    <mergeCell ref="F42:G42"/>
    <mergeCell ref="B11:C11"/>
    <mergeCell ref="N4:O4"/>
    <mergeCell ref="N5:O9"/>
    <mergeCell ref="C52:C53"/>
    <mergeCell ref="C57:C58"/>
    <mergeCell ref="C42:C43"/>
    <mergeCell ref="L47:M47"/>
    <mergeCell ref="N47:O47"/>
    <mergeCell ref="L52:M52"/>
    <mergeCell ref="N52:O52"/>
    <mergeCell ref="D57:E57"/>
    <mergeCell ref="F57:G57"/>
    <mergeCell ref="H57:I57"/>
    <mergeCell ref="J57:K57"/>
    <mergeCell ref="L57:M57"/>
    <mergeCell ref="N57:O57"/>
    <mergeCell ref="D52:E52"/>
    <mergeCell ref="J7:K7"/>
    <mergeCell ref="G7:H7"/>
    <mergeCell ref="D7:E7"/>
    <mergeCell ref="N63:O63"/>
    <mergeCell ref="D63:E63"/>
    <mergeCell ref="F63:G63"/>
    <mergeCell ref="H63:I63"/>
    <mergeCell ref="J63:K63"/>
    <mergeCell ref="L63:M63"/>
    <mergeCell ref="F52:G52"/>
    <mergeCell ref="H52:I52"/>
    <mergeCell ref="J52:K52"/>
    <mergeCell ref="D47:E47"/>
    <mergeCell ref="F47:G47"/>
    <mergeCell ref="H47:I47"/>
    <mergeCell ref="J47:K47"/>
  </mergeCells>
  <phoneticPr fontId="5" type="noConversion"/>
  <conditionalFormatting sqref="J11:O11">
    <cfRule type="expression" dxfId="88" priority="4">
      <formula>$AI$5&gt;0</formula>
    </cfRule>
    <cfRule type="expression" dxfId="87" priority="5">
      <formula>AND(AI5=0,AJ5&gt;0)</formula>
    </cfRule>
    <cfRule type="expression" dxfId="86" priority="6">
      <formula>AK5=0</formula>
    </cfRule>
  </conditionalFormatting>
  <conditionalFormatting sqref="C57">
    <cfRule type="expression" dxfId="85" priority="7">
      <formula>$AM57&gt;0</formula>
    </cfRule>
    <cfRule type="expression" dxfId="84" priority="8">
      <formula>AND($AM57=0,$AN57&gt;0)</formula>
    </cfRule>
    <cfRule type="expression" dxfId="83" priority="9">
      <formula>$AO57=0</formula>
    </cfRule>
  </conditionalFormatting>
  <conditionalFormatting sqref="C32">
    <cfRule type="expression" dxfId="82" priority="37">
      <formula>$AM32&gt;0</formula>
    </cfRule>
    <cfRule type="expression" dxfId="81" priority="38">
      <formula>AND($AM32=0,$AN32&gt;0)</formula>
    </cfRule>
    <cfRule type="expression" dxfId="80" priority="39">
      <formula>$AO32=0</formula>
    </cfRule>
  </conditionalFormatting>
  <conditionalFormatting sqref="C37">
    <cfRule type="expression" dxfId="79" priority="19">
      <formula>$AM37&gt;0</formula>
    </cfRule>
    <cfRule type="expression" dxfId="78" priority="20">
      <formula>AND($AM37=0,$AN37&gt;0)</formula>
    </cfRule>
    <cfRule type="expression" dxfId="77" priority="21">
      <formula>$AO37=0</formula>
    </cfRule>
  </conditionalFormatting>
  <conditionalFormatting sqref="C42">
    <cfRule type="expression" dxfId="76" priority="16">
      <formula>$AM42&gt;0</formula>
    </cfRule>
    <cfRule type="expression" dxfId="75" priority="17">
      <formula>AND($AM42=0,$AN42&gt;0)</formula>
    </cfRule>
    <cfRule type="expression" dxfId="74" priority="18">
      <formula>$AO42=0</formula>
    </cfRule>
  </conditionalFormatting>
  <conditionalFormatting sqref="C47">
    <cfRule type="expression" dxfId="73" priority="13">
      <formula>$AM47&gt;0</formula>
    </cfRule>
    <cfRule type="expression" dxfId="72" priority="14">
      <formula>AND($AM47=0,$AN47&gt;0)</formula>
    </cfRule>
    <cfRule type="expression" dxfId="71" priority="15">
      <formula>$AO47=0</formula>
    </cfRule>
  </conditionalFormatting>
  <conditionalFormatting sqref="C52">
    <cfRule type="expression" dxfId="70" priority="10">
      <formula>$AM52&gt;0</formula>
    </cfRule>
    <cfRule type="expression" dxfId="69" priority="11">
      <formula>AND($AM52=0,$AN52&gt;0)</formula>
    </cfRule>
    <cfRule type="expression" dxfId="68" priority="12">
      <formula>$AO52=0</formula>
    </cfRule>
  </conditionalFormatting>
  <conditionalFormatting sqref="C64">
    <cfRule type="expression" dxfId="67" priority="1">
      <formula>$AM64&gt;0</formula>
    </cfRule>
    <cfRule type="expression" dxfId="66" priority="2">
      <formula>AND($AM64=0,$AN64&gt;0)</formula>
    </cfRule>
    <cfRule type="expression" dxfId="65" priority="3">
      <formula>$AO64=0</formula>
    </cfRule>
  </conditionalFormatting>
  <dataValidations count="4">
    <dataValidation type="whole" allowBlank="1" showInputMessage="1" showErrorMessage="1" sqref="D4:E4 G4:H4 J4:K4" xr:uid="{00000000-0002-0000-0800-000000000000}">
      <formula1>95</formula1>
      <formula2>130</formula2>
    </dataValidation>
    <dataValidation type="whole" allowBlank="1" showErrorMessage="1" errorTitle="Line Voltage" error="Line Voltage for US  version must be between 95 Volts and 130 Volts" sqref="N5:O9" xr:uid="{00000000-0002-0000-0800-000001000000}">
      <formula1>95</formula1>
      <formula2>130</formula2>
    </dataValidation>
    <dataValidation type="whole" operator="greaterThanOrEqual" allowBlank="1" showInputMessage="1" showErrorMessage="1" sqref="C45 C40 C35 C50 C55 C60:C61 C67" xr:uid="{00000000-0002-0000-0800-000002000000}">
      <formula1>0</formula1>
    </dataValidation>
    <dataValidation type="whole" allowBlank="1" showInputMessage="1" showErrorMessage="1" sqref="D11" xr:uid="{98F43823-766B-EB48-A478-D80837235859}">
      <formula1>0</formula1>
      <formula2>50</formula2>
    </dataValidation>
  </dataValidations>
  <printOptions horizontalCentered="1" verticalCentered="1"/>
  <pageMargins left="0.23129251700680273" right="0.25" top="0.63" bottom="0.96598639455782309" header="0.30000000000000004" footer="0.15000000000000002"/>
  <pageSetup scale="80" orientation="landscape" horizontalDpi="4294967292" verticalDpi="4294967292"/>
  <headerFooter>
    <oddFooter>&amp;L_x000D__x000D__x000D__x000D_        &amp;G</oddFooter>
  </headerFooter>
  <rowBreaks count="2" manualBreakCount="2">
    <brk id="30" max="16383" man="1"/>
    <brk id="61" max="16383" man="1"/>
  </rowBreaks>
  <colBreaks count="1" manualBreakCount="1">
    <brk id="16" max="1048575" man="1"/>
  </colBreaks>
  <drawing r:id="rId1"/>
  <legacyDrawingHF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800-000003000000}">
          <x14:formula1>
            <xm:f>Data!$AE$49:$AE$50</xm:f>
          </x14:formula1>
          <xm:sqref>B32</xm:sqref>
        </x14:dataValidation>
        <x14:dataValidation type="list" allowBlank="1" showInputMessage="1" showErrorMessage="1" xr:uid="{00000000-0002-0000-0800-000004000000}">
          <x14:formula1>
            <xm:f>Data!$AE$62:$AE$63</xm:f>
          </x14:formula1>
          <xm:sqref>D63:I63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12</vt:i4>
      </vt:variant>
      <vt:variant>
        <vt:lpstr>Named Ranges</vt:lpstr>
      </vt:variant>
      <vt:variant>
        <vt:i4>21</vt:i4>
      </vt:variant>
    </vt:vector>
  </HeadingPairs>
  <TitlesOfParts>
    <vt:vector size="33" baseType="lpstr">
      <vt:lpstr>EULA</vt:lpstr>
      <vt:lpstr>Instructions</vt:lpstr>
      <vt:lpstr>Printable Report</vt:lpstr>
      <vt:lpstr>EU Single Speakers </vt:lpstr>
      <vt:lpstr>US Single Speakers</vt:lpstr>
      <vt:lpstr>Master EU</vt:lpstr>
      <vt:lpstr>EU MDM-5000</vt:lpstr>
      <vt:lpstr>EU MDM-832</vt:lpstr>
      <vt:lpstr>Master US</vt:lpstr>
      <vt:lpstr>US MDM-5000</vt:lpstr>
      <vt:lpstr>US MDM-832</vt:lpstr>
      <vt:lpstr>Data</vt:lpstr>
      <vt:lpstr>Instructions!A1048999</vt:lpstr>
      <vt:lpstr>Instructions!A1049000</vt:lpstr>
      <vt:lpstr>A1050000</vt:lpstr>
      <vt:lpstr>Instructions!A1071480</vt:lpstr>
      <vt:lpstr>Instructions!A1080000</vt:lpstr>
      <vt:lpstr>A1099900</vt:lpstr>
      <vt:lpstr>A1100000</vt:lpstr>
      <vt:lpstr>A9000000</vt:lpstr>
      <vt:lpstr>o1049000</vt:lpstr>
      <vt:lpstr>'US MDM-5000'!Print_Area</vt:lpstr>
      <vt:lpstr>'US Single Speakers'!Print_Area</vt:lpstr>
      <vt:lpstr>WST</vt:lpstr>
      <vt:lpstr>xfd</vt:lpstr>
      <vt:lpstr>XWD</vt:lpstr>
      <vt:lpstr>XWD1</vt:lpstr>
      <vt:lpstr>xwf1</vt:lpstr>
      <vt:lpstr>xwt01</vt:lpstr>
      <vt:lpstr>XWT1</vt:lpstr>
      <vt:lpstr>ZZ</vt:lpstr>
      <vt:lpstr>zzz</vt:lpstr>
      <vt:lpstr>ZZZ1</vt:lpstr>
    </vt:vector>
  </TitlesOfParts>
  <Manager/>
  <Company>Meyer Sound Labs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 Gaudin</dc:creator>
  <cp:keywords/>
  <dc:description/>
  <cp:lastModifiedBy>Jose Gaudin</cp:lastModifiedBy>
  <cp:revision/>
  <dcterms:created xsi:type="dcterms:W3CDTF">2016-03-21T08:20:07Z</dcterms:created>
  <dcterms:modified xsi:type="dcterms:W3CDTF">2022-01-26T19:35:50Z</dcterms:modified>
  <cp:category/>
  <cp:contentStatus/>
</cp:coreProperties>
</file>